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randval\Documents\CLUB AUTO\Club Auto Septembre 2019\PDF\"/>
    </mc:Choice>
  </mc:AlternateContent>
  <xr:revisionPtr revIDLastSave="0" documentId="13_ncr:1_{98B096DF-36E9-41CF-8722-71213AC03D90}" xr6:coauthVersionLast="44" xr6:coauthVersionMax="44" xr10:uidLastSave="{00000000-0000-0000-0000-000000000000}"/>
  <bookViews>
    <workbookView xWindow="14303" yWindow="-98" windowWidth="20715" windowHeight="13276" xr2:uid="{3F5277A0-B6D8-A044-92D3-3D90831B6D3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39" i="1" l="1"/>
  <c r="G538" i="1"/>
  <c r="G536" i="1"/>
  <c r="E535" i="1"/>
  <c r="E537" i="1" s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F520" i="1"/>
  <c r="G520" i="1" s="1"/>
  <c r="G519" i="1"/>
  <c r="G518" i="1"/>
  <c r="F517" i="1"/>
  <c r="G517" i="1" s="1"/>
  <c r="G516" i="1"/>
  <c r="G515" i="1"/>
  <c r="F515" i="1"/>
  <c r="F514" i="1"/>
  <c r="E514" i="1"/>
  <c r="G514" i="1" s="1"/>
  <c r="G513" i="1"/>
  <c r="G512" i="1"/>
  <c r="G511" i="1"/>
  <c r="G510" i="1"/>
  <c r="G509" i="1"/>
  <c r="G508" i="1"/>
  <c r="G507" i="1"/>
  <c r="G506" i="1"/>
  <c r="G505" i="1"/>
  <c r="F504" i="1"/>
  <c r="E504" i="1"/>
  <c r="G504" i="1" s="1"/>
  <c r="G503" i="1"/>
  <c r="G502" i="1"/>
  <c r="G501" i="1"/>
  <c r="G500" i="1"/>
  <c r="G499" i="1"/>
  <c r="G498" i="1"/>
  <c r="G497" i="1"/>
  <c r="G496" i="1"/>
  <c r="G495" i="1"/>
  <c r="G494" i="1"/>
  <c r="F493" i="1"/>
  <c r="E493" i="1"/>
  <c r="G492" i="1"/>
  <c r="G491" i="1"/>
  <c r="G490" i="1"/>
  <c r="G489" i="1"/>
  <c r="G488" i="1"/>
  <c r="G487" i="1"/>
  <c r="G486" i="1"/>
  <c r="F485" i="1"/>
  <c r="G485" i="1" s="1"/>
  <c r="E485" i="1"/>
  <c r="G484" i="1"/>
  <c r="G483" i="1"/>
  <c r="G482" i="1"/>
  <c r="G481" i="1"/>
  <c r="G480" i="1"/>
  <c r="F479" i="1"/>
  <c r="G479" i="1" s="1"/>
  <c r="E479" i="1"/>
  <c r="G478" i="1"/>
  <c r="G477" i="1"/>
  <c r="G476" i="1"/>
  <c r="G475" i="1"/>
  <c r="G474" i="1"/>
  <c r="E473" i="1"/>
  <c r="G472" i="1"/>
  <c r="G470" i="1"/>
  <c r="G469" i="1"/>
  <c r="G468" i="1"/>
  <c r="G467" i="1"/>
  <c r="H466" i="1"/>
  <c r="G466" i="1"/>
  <c r="G465" i="1"/>
  <c r="G464" i="1"/>
  <c r="G463" i="1"/>
  <c r="F462" i="1"/>
  <c r="G462" i="1" s="1"/>
  <c r="F461" i="1"/>
  <c r="G461" i="1" s="1"/>
  <c r="F460" i="1"/>
  <c r="G460" i="1" s="1"/>
  <c r="G459" i="1"/>
  <c r="F459" i="1"/>
  <c r="F458" i="1"/>
  <c r="G458" i="1" s="1"/>
  <c r="G457" i="1"/>
  <c r="E456" i="1"/>
  <c r="E455" i="1"/>
  <c r="G454" i="1"/>
  <c r="G453" i="1"/>
  <c r="G452" i="1"/>
  <c r="G451" i="1"/>
  <c r="G450" i="1"/>
  <c r="F450" i="1"/>
  <c r="F455" i="1" s="1"/>
  <c r="F456" i="1" s="1"/>
  <c r="G456" i="1" s="1"/>
  <c r="G449" i="1"/>
  <c r="G448" i="1"/>
  <c r="G447" i="1"/>
  <c r="G446" i="1"/>
  <c r="G445" i="1"/>
  <c r="G444" i="1"/>
  <c r="G443" i="1"/>
  <c r="G442" i="1"/>
  <c r="G441" i="1"/>
  <c r="G440" i="1"/>
  <c r="G439" i="1"/>
  <c r="F438" i="1"/>
  <c r="G438" i="1" s="1"/>
  <c r="E438" i="1"/>
  <c r="G437" i="1"/>
  <c r="G436" i="1"/>
  <c r="G435" i="1"/>
  <c r="G434" i="1"/>
  <c r="G433" i="1"/>
  <c r="G431" i="1"/>
  <c r="G429" i="1"/>
  <c r="G428" i="1"/>
  <c r="G427" i="1"/>
  <c r="G426" i="1"/>
  <c r="E425" i="1"/>
  <c r="G424" i="1"/>
  <c r="G422" i="1"/>
  <c r="F421" i="1"/>
  <c r="G421" i="1" s="1"/>
  <c r="F419" i="1"/>
  <c r="E419" i="1"/>
  <c r="G418" i="1"/>
  <c r="G417" i="1"/>
  <c r="G416" i="1"/>
  <c r="G415" i="1"/>
  <c r="G414" i="1"/>
  <c r="G413" i="1"/>
  <c r="G412" i="1"/>
  <c r="G411" i="1"/>
  <c r="F409" i="1"/>
  <c r="G409" i="1" s="1"/>
  <c r="E409" i="1"/>
  <c r="G408" i="1"/>
  <c r="G407" i="1"/>
  <c r="G406" i="1"/>
  <c r="G405" i="1"/>
  <c r="G404" i="1"/>
  <c r="G403" i="1"/>
  <c r="G402" i="1"/>
  <c r="G401" i="1"/>
  <c r="G400" i="1"/>
  <c r="F399" i="1"/>
  <c r="E399" i="1"/>
  <c r="G398" i="1"/>
  <c r="G397" i="1"/>
  <c r="G396" i="1"/>
  <c r="G395" i="1"/>
  <c r="G394" i="1"/>
  <c r="G393" i="1"/>
  <c r="G391" i="1"/>
  <c r="G390" i="1"/>
  <c r="G389" i="1"/>
  <c r="F387" i="1"/>
  <c r="E387" i="1"/>
  <c r="G386" i="1"/>
  <c r="G385" i="1"/>
  <c r="G384" i="1"/>
  <c r="G383" i="1"/>
  <c r="G382" i="1"/>
  <c r="G381" i="1"/>
  <c r="G380" i="1"/>
  <c r="F379" i="1"/>
  <c r="E379" i="1"/>
  <c r="G378" i="1"/>
  <c r="G377" i="1"/>
  <c r="G376" i="1"/>
  <c r="G375" i="1"/>
  <c r="E372" i="1"/>
  <c r="G371" i="1"/>
  <c r="G370" i="1"/>
  <c r="F369" i="1"/>
  <c r="G369" i="1" s="1"/>
  <c r="G368" i="1"/>
  <c r="G367" i="1"/>
  <c r="G366" i="1"/>
  <c r="G365" i="1"/>
  <c r="G364" i="1"/>
  <c r="G363" i="1"/>
  <c r="G362" i="1"/>
  <c r="G360" i="1"/>
  <c r="F359" i="1"/>
  <c r="G358" i="1"/>
  <c r="G357" i="1"/>
  <c r="G356" i="1"/>
  <c r="E355" i="1"/>
  <c r="G354" i="1"/>
  <c r="G353" i="1"/>
  <c r="G352" i="1"/>
  <c r="G351" i="1"/>
  <c r="G350" i="1"/>
  <c r="F349" i="1"/>
  <c r="F355" i="1" s="1"/>
  <c r="G355" i="1" s="1"/>
  <c r="E347" i="1"/>
  <c r="G346" i="1"/>
  <c r="G345" i="1"/>
  <c r="F344" i="1"/>
  <c r="G344" i="1" s="1"/>
  <c r="G343" i="1"/>
  <c r="G342" i="1"/>
  <c r="G341" i="1"/>
  <c r="G340" i="1"/>
  <c r="G339" i="1"/>
  <c r="F338" i="1"/>
  <c r="G338" i="1" s="1"/>
  <c r="G337" i="1"/>
  <c r="G336" i="1"/>
  <c r="G335" i="1"/>
  <c r="G334" i="1"/>
  <c r="F334" i="1"/>
  <c r="F347" i="1" s="1"/>
  <c r="G347" i="1" s="1"/>
  <c r="F333" i="1"/>
  <c r="G333" i="1" s="1"/>
  <c r="E333" i="1"/>
  <c r="E348" i="1" s="1"/>
  <c r="G332" i="1"/>
  <c r="G331" i="1"/>
  <c r="G329" i="1"/>
  <c r="G328" i="1"/>
  <c r="G327" i="1"/>
  <c r="G326" i="1"/>
  <c r="G325" i="1"/>
  <c r="E324" i="1"/>
  <c r="E323" i="1"/>
  <c r="G322" i="1"/>
  <c r="G321" i="1"/>
  <c r="G320" i="1"/>
  <c r="G319" i="1"/>
  <c r="G318" i="1"/>
  <c r="G317" i="1"/>
  <c r="G316" i="1"/>
  <c r="F315" i="1"/>
  <c r="F323" i="1" s="1"/>
  <c r="G314" i="1"/>
  <c r="G313" i="1"/>
  <c r="G312" i="1"/>
  <c r="G310" i="1"/>
  <c r="G309" i="1"/>
  <c r="G308" i="1"/>
  <c r="G307" i="1"/>
  <c r="G306" i="1"/>
  <c r="G305" i="1"/>
  <c r="G304" i="1"/>
  <c r="G303" i="1"/>
  <c r="E302" i="1"/>
  <c r="G301" i="1"/>
  <c r="G300" i="1"/>
  <c r="G299" i="1"/>
  <c r="G298" i="1"/>
  <c r="F297" i="1"/>
  <c r="G297" i="1" s="1"/>
  <c r="G296" i="1"/>
  <c r="G295" i="1"/>
  <c r="G294" i="1"/>
  <c r="G293" i="1"/>
  <c r="F293" i="1"/>
  <c r="G292" i="1"/>
  <c r="G291" i="1"/>
  <c r="G290" i="1"/>
  <c r="F289" i="1"/>
  <c r="G288" i="1"/>
  <c r="G287" i="1"/>
  <c r="F286" i="1"/>
  <c r="G286" i="1" s="1"/>
  <c r="E286" i="1"/>
  <c r="G285" i="1"/>
  <c r="G283" i="1"/>
  <c r="G282" i="1"/>
  <c r="G281" i="1"/>
  <c r="G280" i="1"/>
  <c r="F280" i="1"/>
  <c r="E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F261" i="1"/>
  <c r="G261" i="1" s="1"/>
  <c r="G260" i="1"/>
  <c r="G259" i="1"/>
  <c r="G258" i="1"/>
  <c r="G257" i="1"/>
  <c r="G256" i="1"/>
  <c r="G255" i="1"/>
  <c r="G254" i="1"/>
  <c r="G253" i="1"/>
  <c r="G252" i="1"/>
  <c r="G251" i="1"/>
  <c r="G249" i="1"/>
  <c r="G248" i="1"/>
  <c r="G247" i="1"/>
  <c r="G245" i="1"/>
  <c r="F244" i="1"/>
  <c r="G244" i="1" s="1"/>
  <c r="G243" i="1"/>
  <c r="F242" i="1"/>
  <c r="G241" i="1"/>
  <c r="G240" i="1"/>
  <c r="G238" i="1"/>
  <c r="F238" i="1"/>
  <c r="F239" i="1" s="1"/>
  <c r="G239" i="1" s="1"/>
  <c r="G237" i="1"/>
  <c r="G236" i="1"/>
  <c r="G235" i="1"/>
  <c r="G234" i="1"/>
  <c r="G233" i="1"/>
  <c r="G232" i="1"/>
  <c r="G231" i="1"/>
  <c r="E229" i="1"/>
  <c r="E230" i="1" s="1"/>
  <c r="G228" i="1"/>
  <c r="G227" i="1"/>
  <c r="G225" i="1"/>
  <c r="G224" i="1"/>
  <c r="G223" i="1"/>
  <c r="G222" i="1"/>
  <c r="G221" i="1"/>
  <c r="G220" i="1"/>
  <c r="G219" i="1"/>
  <c r="G218" i="1"/>
  <c r="F217" i="1"/>
  <c r="F229" i="1" s="1"/>
  <c r="G229" i="1" s="1"/>
  <c r="G216" i="1"/>
  <c r="G215" i="1"/>
  <c r="E214" i="1"/>
  <c r="G213" i="1"/>
  <c r="G212" i="1"/>
  <c r="G211" i="1"/>
  <c r="G210" i="1"/>
  <c r="G208" i="1"/>
  <c r="G207" i="1"/>
  <c r="G205" i="1"/>
  <c r="G204" i="1"/>
  <c r="G203" i="1"/>
  <c r="G202" i="1"/>
  <c r="G200" i="1"/>
  <c r="F199" i="1"/>
  <c r="G199" i="1" s="1"/>
  <c r="F198" i="1"/>
  <c r="G198" i="1" s="1"/>
  <c r="G197" i="1"/>
  <c r="F196" i="1"/>
  <c r="G196" i="1" s="1"/>
  <c r="E195" i="1"/>
  <c r="G194" i="1"/>
  <c r="G193" i="1"/>
  <c r="F192" i="1"/>
  <c r="G192" i="1" s="1"/>
  <c r="G191" i="1"/>
  <c r="F191" i="1"/>
  <c r="G190" i="1"/>
  <c r="G189" i="1"/>
  <c r="G188" i="1"/>
  <c r="F186" i="1"/>
  <c r="E186" i="1"/>
  <c r="G184" i="1"/>
  <c r="G174" i="1"/>
  <c r="E173" i="1"/>
  <c r="G171" i="1"/>
  <c r="G170" i="1"/>
  <c r="G169" i="1"/>
  <c r="F168" i="1"/>
  <c r="G168" i="1" s="1"/>
  <c r="F167" i="1"/>
  <c r="G167" i="1" s="1"/>
  <c r="G165" i="1"/>
  <c r="G164" i="1"/>
  <c r="G163" i="1"/>
  <c r="F162" i="1"/>
  <c r="G161" i="1"/>
  <c r="G157" i="1"/>
  <c r="E156" i="1"/>
  <c r="F155" i="1"/>
  <c r="G155" i="1" s="1"/>
  <c r="F154" i="1"/>
  <c r="G154" i="1" s="1"/>
  <c r="F153" i="1"/>
  <c r="G153" i="1" s="1"/>
  <c r="F152" i="1"/>
  <c r="G152" i="1" s="1"/>
  <c r="F151" i="1"/>
  <c r="G151" i="1" s="1"/>
  <c r="G150" i="1"/>
  <c r="G149" i="1"/>
  <c r="F149" i="1"/>
  <c r="G148" i="1"/>
  <c r="F148" i="1"/>
  <c r="G147" i="1"/>
  <c r="F147" i="1"/>
  <c r="G146" i="1"/>
  <c r="F145" i="1"/>
  <c r="G145" i="1" s="1"/>
  <c r="G144" i="1"/>
  <c r="F143" i="1"/>
  <c r="G143" i="1" s="1"/>
  <c r="G142" i="1"/>
  <c r="F142" i="1"/>
  <c r="E140" i="1"/>
  <c r="F138" i="1"/>
  <c r="F135" i="1"/>
  <c r="F132" i="1"/>
  <c r="E128" i="1"/>
  <c r="E130" i="1" s="1"/>
  <c r="F121" i="1"/>
  <c r="E121" i="1"/>
  <c r="E115" i="1"/>
  <c r="G114" i="1"/>
  <c r="F113" i="1"/>
  <c r="G113" i="1" s="1"/>
  <c r="G112" i="1"/>
  <c r="G111" i="1"/>
  <c r="F110" i="1"/>
  <c r="G110" i="1" s="1"/>
  <c r="F109" i="1"/>
  <c r="E108" i="1"/>
  <c r="G107" i="1"/>
  <c r="F106" i="1"/>
  <c r="G106" i="1" s="1"/>
  <c r="F105" i="1"/>
  <c r="G105" i="1" s="1"/>
  <c r="F104" i="1"/>
  <c r="G104" i="1" s="1"/>
  <c r="F103" i="1"/>
  <c r="G102" i="1"/>
  <c r="G101" i="1"/>
  <c r="G100" i="1"/>
  <c r="G99" i="1"/>
  <c r="G98" i="1"/>
  <c r="G97" i="1"/>
  <c r="G96" i="1"/>
  <c r="G95" i="1"/>
  <c r="G94" i="1"/>
  <c r="F93" i="1"/>
  <c r="G93" i="1" s="1"/>
  <c r="G92" i="1"/>
  <c r="F92" i="1"/>
  <c r="G91" i="1"/>
  <c r="F87" i="1"/>
  <c r="G87" i="1" s="1"/>
  <c r="E87" i="1"/>
  <c r="G86" i="1"/>
  <c r="G85" i="1"/>
  <c r="G84" i="1"/>
  <c r="G83" i="1"/>
  <c r="G82" i="1"/>
  <c r="G81" i="1"/>
  <c r="G80" i="1"/>
  <c r="F80" i="1"/>
  <c r="F75" i="1"/>
  <c r="E75" i="1"/>
  <c r="G74" i="1"/>
  <c r="G73" i="1"/>
  <c r="E72" i="1"/>
  <c r="F71" i="1"/>
  <c r="G71" i="1" s="1"/>
  <c r="F70" i="1"/>
  <c r="G70" i="1" s="1"/>
  <c r="F69" i="1"/>
  <c r="G69" i="1" s="1"/>
  <c r="F68" i="1"/>
  <c r="G68" i="1" s="1"/>
  <c r="F67" i="1"/>
  <c r="G67" i="1" s="1"/>
  <c r="G66" i="1"/>
  <c r="F65" i="1"/>
  <c r="G65" i="1" s="1"/>
  <c r="F64" i="1"/>
  <c r="F63" i="1"/>
  <c r="G63" i="1" s="1"/>
  <c r="G62" i="1"/>
  <c r="G61" i="1"/>
  <c r="F60" i="1"/>
  <c r="G60" i="1" s="1"/>
  <c r="G59" i="1"/>
  <c r="F58" i="1"/>
  <c r="G58" i="1" s="1"/>
  <c r="F57" i="1"/>
  <c r="G57" i="1" s="1"/>
  <c r="G56" i="1"/>
  <c r="F56" i="1"/>
  <c r="G55" i="1"/>
  <c r="G54" i="1"/>
  <c r="F54" i="1"/>
  <c r="F53" i="1"/>
  <c r="G53" i="1" s="1"/>
  <c r="G52" i="1"/>
  <c r="F52" i="1"/>
  <c r="F51" i="1"/>
  <c r="G51" i="1" s="1"/>
  <c r="G50" i="1"/>
  <c r="G49" i="1"/>
  <c r="G48" i="1"/>
  <c r="G46" i="1"/>
  <c r="E40" i="1"/>
  <c r="F39" i="1"/>
  <c r="F40" i="1" s="1"/>
  <c r="G38" i="1"/>
  <c r="G37" i="1"/>
  <c r="E36" i="1"/>
  <c r="E47" i="1" s="1"/>
  <c r="G35" i="1"/>
  <c r="G34" i="1"/>
  <c r="G33" i="1"/>
  <c r="G31" i="1"/>
  <c r="G30" i="1"/>
  <c r="G29" i="1"/>
  <c r="G28" i="1"/>
  <c r="G27" i="1"/>
  <c r="I26" i="1"/>
  <c r="G26" i="1"/>
  <c r="G24" i="1"/>
  <c r="G23" i="1"/>
  <c r="F23" i="1"/>
  <c r="F22" i="1"/>
  <c r="G22" i="1" s="1"/>
  <c r="F21" i="1"/>
  <c r="G21" i="1" s="1"/>
  <c r="F20" i="1"/>
  <c r="G20" i="1" s="1"/>
  <c r="G19" i="1"/>
  <c r="G18" i="1"/>
  <c r="F17" i="1"/>
  <c r="G16" i="1"/>
  <c r="F15" i="1"/>
  <c r="F9" i="1"/>
  <c r="G493" i="1" l="1"/>
  <c r="I16" i="1"/>
  <c r="E76" i="1"/>
  <c r="E540" i="1" s="1"/>
  <c r="G75" i="1"/>
  <c r="F108" i="1"/>
  <c r="G108" i="1" s="1"/>
  <c r="F128" i="1"/>
  <c r="G217" i="1"/>
  <c r="F302" i="1"/>
  <c r="G302" i="1" s="1"/>
  <c r="G349" i="1"/>
  <c r="G379" i="1"/>
  <c r="G399" i="1"/>
  <c r="E420" i="1"/>
  <c r="F473" i="1"/>
  <c r="G473" i="1" s="1"/>
  <c r="G121" i="1"/>
  <c r="F140" i="1"/>
  <c r="G140" i="1" s="1"/>
  <c r="F156" i="1"/>
  <c r="G156" i="1" s="1"/>
  <c r="F172" i="1"/>
  <c r="G186" i="1"/>
  <c r="F250" i="1"/>
  <c r="G250" i="1" s="1"/>
  <c r="G387" i="1"/>
  <c r="G419" i="1"/>
  <c r="F535" i="1"/>
  <c r="G40" i="1"/>
  <c r="H48" i="1"/>
  <c r="H64" i="1"/>
  <c r="F115" i="1"/>
  <c r="G115" i="1" s="1"/>
  <c r="F372" i="1"/>
  <c r="G372" i="1" s="1"/>
  <c r="E373" i="1"/>
  <c r="E374" i="1" s="1"/>
  <c r="F420" i="1"/>
  <c r="G172" i="1"/>
  <c r="F173" i="1"/>
  <c r="G173" i="1" s="1"/>
  <c r="G420" i="1"/>
  <c r="G535" i="1"/>
  <c r="F537" i="1"/>
  <c r="G537" i="1" s="1"/>
  <c r="F130" i="1"/>
  <c r="G130" i="1" s="1"/>
  <c r="G323" i="1"/>
  <c r="F373" i="1"/>
  <c r="F36" i="1"/>
  <c r="G17" i="1"/>
  <c r="G64" i="1"/>
  <c r="F72" i="1"/>
  <c r="G72" i="1" s="1"/>
  <c r="G109" i="1"/>
  <c r="G128" i="1"/>
  <c r="F195" i="1"/>
  <c r="G195" i="1" s="1"/>
  <c r="F348" i="1"/>
  <c r="G348" i="1" s="1"/>
  <c r="G359" i="1"/>
  <c r="G162" i="1"/>
  <c r="G242" i="1"/>
  <c r="H457" i="1"/>
  <c r="H60" i="1"/>
  <c r="F425" i="1"/>
  <c r="G425" i="1" s="1"/>
  <c r="G39" i="1"/>
  <c r="G103" i="1"/>
  <c r="G315" i="1"/>
  <c r="G455" i="1"/>
  <c r="F214" i="1"/>
  <c r="G214" i="1" s="1"/>
  <c r="G289" i="1"/>
  <c r="F76" i="1" l="1"/>
  <c r="G76" i="1" s="1"/>
  <c r="F324" i="1"/>
  <c r="G324" i="1" s="1"/>
  <c r="F230" i="1"/>
  <c r="G230" i="1" s="1"/>
  <c r="F47" i="1"/>
  <c r="G36" i="1"/>
  <c r="F374" i="1"/>
  <c r="G374" i="1" s="1"/>
  <c r="G373" i="1"/>
  <c r="G47" i="1" l="1"/>
  <c r="F540" i="1"/>
  <c r="G540" i="1" s="1"/>
</calcChain>
</file>

<file path=xl/sharedStrings.xml><?xml version="1.0" encoding="utf-8"?>
<sst xmlns="http://schemas.openxmlformats.org/spreadsheetml/2006/main" count="1608" uniqueCount="590">
  <si>
    <t>Groupe</t>
  </si>
  <si>
    <t>Marques</t>
  </si>
  <si>
    <t>Model</t>
  </si>
  <si>
    <t>12 mois 2018</t>
  </si>
  <si>
    <t>12 mois 2019</t>
  </si>
  <si>
    <t>ASTON MARTIN</t>
  </si>
  <si>
    <t>V8/V12_Vantage</t>
  </si>
  <si>
    <t>DB9</t>
  </si>
  <si>
    <t>DBS</t>
  </si>
  <si>
    <t>Vanquish</t>
  </si>
  <si>
    <t>Rapide</t>
  </si>
  <si>
    <t>DB11</t>
  </si>
  <si>
    <t>Autre ASTON MARTIN</t>
  </si>
  <si>
    <t>Other</t>
  </si>
  <si>
    <t>Total_ASTON MARTIN</t>
  </si>
  <si>
    <t>AVTOVAZ</t>
  </si>
  <si>
    <t>LADA</t>
  </si>
  <si>
    <t>Niva</t>
  </si>
  <si>
    <t>Granta</t>
  </si>
  <si>
    <t>Vesta</t>
  </si>
  <si>
    <t>Autre LADA</t>
  </si>
  <si>
    <t>Total_Lada</t>
  </si>
  <si>
    <t>Total</t>
  </si>
  <si>
    <t>BMW GROUP</t>
  </si>
  <si>
    <t>BMW</t>
  </si>
  <si>
    <t>Series 1</t>
  </si>
  <si>
    <t>Séries</t>
  </si>
  <si>
    <t>Series 2</t>
  </si>
  <si>
    <t>series_Active/Gran_Tourer</t>
  </si>
  <si>
    <t>Series 3</t>
  </si>
  <si>
    <t>Series 4</t>
  </si>
  <si>
    <t>Series 5</t>
  </si>
  <si>
    <t>Series 6</t>
  </si>
  <si>
    <t>Series 7</t>
  </si>
  <si>
    <t>Series 8</t>
  </si>
  <si>
    <t>Z4</t>
  </si>
  <si>
    <t>NS</t>
  </si>
  <si>
    <t>X1</t>
  </si>
  <si>
    <t>Série X</t>
  </si>
  <si>
    <t>X2</t>
  </si>
  <si>
    <t>X3</t>
  </si>
  <si>
    <t>X4</t>
  </si>
  <si>
    <t>X5</t>
  </si>
  <si>
    <t>X6</t>
  </si>
  <si>
    <t>X7</t>
  </si>
  <si>
    <t>i3</t>
  </si>
  <si>
    <t>i8</t>
  </si>
  <si>
    <t>Autre BMW</t>
  </si>
  <si>
    <t>Total_BMW</t>
  </si>
  <si>
    <t>MINI</t>
  </si>
  <si>
    <t>Mini</t>
  </si>
  <si>
    <t>Countryman/Paceman</t>
  </si>
  <si>
    <t>Clubman</t>
  </si>
  <si>
    <t>Total_Mini</t>
  </si>
  <si>
    <t>Rolls-Royce</t>
  </si>
  <si>
    <t>Phantom</t>
  </si>
  <si>
    <t>Ghost</t>
  </si>
  <si>
    <t>Wraith</t>
  </si>
  <si>
    <t>Dawn</t>
  </si>
  <si>
    <t>Autre Rolls-Royce</t>
  </si>
  <si>
    <t>Total_Rolls-Royce</t>
  </si>
  <si>
    <t>BMW_GROUP</t>
  </si>
  <si>
    <t>DAIMLER</t>
  </si>
  <si>
    <t>Mercedes-Benz</t>
  </si>
  <si>
    <t>A_class</t>
  </si>
  <si>
    <t>B_class</t>
  </si>
  <si>
    <t>CLA</t>
  </si>
  <si>
    <t>C_class</t>
  </si>
  <si>
    <t>E_class</t>
  </si>
  <si>
    <t>S_class</t>
  </si>
  <si>
    <t>CLS</t>
  </si>
  <si>
    <t>SLK</t>
  </si>
  <si>
    <t>SLC</t>
  </si>
  <si>
    <t>SL</t>
  </si>
  <si>
    <t>AMG_GT</t>
  </si>
  <si>
    <t>SLS_AMG</t>
  </si>
  <si>
    <t>Citan</t>
  </si>
  <si>
    <t>V_class</t>
  </si>
  <si>
    <t>Vito/Viano</t>
  </si>
  <si>
    <t>Sprinter</t>
  </si>
  <si>
    <t>GLA</t>
  </si>
  <si>
    <t>GLC/GLC_coupe</t>
  </si>
  <si>
    <t>GLK/GLB</t>
  </si>
  <si>
    <t>GLE/M_class</t>
  </si>
  <si>
    <t>GLE_coupe</t>
  </si>
  <si>
    <t>G_class</t>
  </si>
  <si>
    <t>GL/GLS</t>
  </si>
  <si>
    <t>Autre Mercedes-Benz</t>
  </si>
  <si>
    <t>Total_Mercedes-Benz</t>
  </si>
  <si>
    <t>SMART</t>
  </si>
  <si>
    <t>ForTwo</t>
  </si>
  <si>
    <t>ForFour</t>
  </si>
  <si>
    <t>Total_Smart</t>
  </si>
  <si>
    <t>DR MOTOR COMPANY</t>
  </si>
  <si>
    <t>DR4</t>
  </si>
  <si>
    <t>MOTOR_COMPANY</t>
  </si>
  <si>
    <t>DR5</t>
  </si>
  <si>
    <t>Autre MOTOR_COMPANY</t>
  </si>
  <si>
    <t>DR_MOTOR_COMPANY</t>
  </si>
  <si>
    <t>FCA</t>
  </si>
  <si>
    <t>Alfa_Romeo</t>
  </si>
  <si>
    <t>MiTo</t>
  </si>
  <si>
    <t>Giulietta</t>
  </si>
  <si>
    <t>Giulia</t>
  </si>
  <si>
    <t>Stelvio</t>
  </si>
  <si>
    <t>4C</t>
  </si>
  <si>
    <t>Autre Alfa_Romeo</t>
  </si>
  <si>
    <t>Total_Alfa_Romeo</t>
  </si>
  <si>
    <t>Chrysler</t>
  </si>
  <si>
    <t>300C</t>
  </si>
  <si>
    <t>Grand_Voyager/Town_&amp;_Country</t>
  </si>
  <si>
    <t>Autre Chrysler</t>
  </si>
  <si>
    <t>Total_Chrysler</t>
  </si>
  <si>
    <t>Dodge</t>
  </si>
  <si>
    <t>FIAT</t>
  </si>
  <si>
    <t>Panda</t>
  </si>
  <si>
    <t>Punto</t>
  </si>
  <si>
    <t>Bravo</t>
  </si>
  <si>
    <t>Tipo</t>
  </si>
  <si>
    <t>500X</t>
  </si>
  <si>
    <t>124_Spider</t>
  </si>
  <si>
    <t>Sedici</t>
  </si>
  <si>
    <t>500L</t>
  </si>
  <si>
    <t>Freemont</t>
  </si>
  <si>
    <t>Fiorino/Qubo</t>
  </si>
  <si>
    <t>Doblo</t>
  </si>
  <si>
    <t>Talento</t>
  </si>
  <si>
    <t>Ducato</t>
  </si>
  <si>
    <t>Autre FIAT</t>
  </si>
  <si>
    <t>Total_Fiat</t>
  </si>
  <si>
    <t>JEEP</t>
  </si>
  <si>
    <t>Renegade</t>
  </si>
  <si>
    <t>Compass</t>
  </si>
  <si>
    <t>Wrangler</t>
  </si>
  <si>
    <t>Cherokee/Liberty</t>
  </si>
  <si>
    <t>Grand_Cherokee</t>
  </si>
  <si>
    <t>Autre JEEP</t>
  </si>
  <si>
    <t>Total_Jeep</t>
  </si>
  <si>
    <t>LANCIA</t>
  </si>
  <si>
    <t>Ypsilon</t>
  </si>
  <si>
    <t>Musa</t>
  </si>
  <si>
    <t>Delta</t>
  </si>
  <si>
    <t>Thema</t>
  </si>
  <si>
    <t>Autre LANCIA</t>
  </si>
  <si>
    <t>Total_Lancia</t>
  </si>
  <si>
    <t>Maserati</t>
  </si>
  <si>
    <t>GranTurismo</t>
  </si>
  <si>
    <t>GranCabrio</t>
  </si>
  <si>
    <t>Ghibli</t>
  </si>
  <si>
    <t>Quattroporte</t>
  </si>
  <si>
    <t>Levante</t>
  </si>
  <si>
    <t>Autre Maserati</t>
  </si>
  <si>
    <t>Total_Maserati</t>
  </si>
  <si>
    <t>Autre FCA</t>
  </si>
  <si>
    <t>FIAT_CHRYSLER</t>
  </si>
  <si>
    <t>FERRARI</t>
  </si>
  <si>
    <t>458_Italia</t>
  </si>
  <si>
    <t>California</t>
  </si>
  <si>
    <t>Portofino</t>
  </si>
  <si>
    <t>GTC4</t>
  </si>
  <si>
    <t>FF</t>
  </si>
  <si>
    <t>F12</t>
  </si>
  <si>
    <t>Autre FERRARI</t>
  </si>
  <si>
    <t>FORD</t>
  </si>
  <si>
    <t>Ka</t>
  </si>
  <si>
    <t>Ka+</t>
  </si>
  <si>
    <t>Fiesta</t>
  </si>
  <si>
    <t>Focus</t>
  </si>
  <si>
    <t>Mondeo</t>
  </si>
  <si>
    <t>B-Max</t>
  </si>
  <si>
    <t>C-Max/Grand_C-Max</t>
  </si>
  <si>
    <t>S-Max</t>
  </si>
  <si>
    <t>Galaxy</t>
  </si>
  <si>
    <t>EcoSport</t>
  </si>
  <si>
    <t>Kuga</t>
  </si>
  <si>
    <t>Edge</t>
  </si>
  <si>
    <t>Transit/Tourneo</t>
  </si>
  <si>
    <t>Mustang</t>
  </si>
  <si>
    <t>FORD_MOTOR</t>
  </si>
  <si>
    <t>GEELY</t>
  </si>
  <si>
    <t>Geely</t>
  </si>
  <si>
    <t>LOTUS</t>
  </si>
  <si>
    <t>Elise</t>
  </si>
  <si>
    <t>Exige</t>
  </si>
  <si>
    <t>Autre LOTUS</t>
  </si>
  <si>
    <t>Total_Lotus</t>
  </si>
  <si>
    <t>Volvo</t>
  </si>
  <si>
    <t>V40</t>
  </si>
  <si>
    <t>S60</t>
  </si>
  <si>
    <t>V60</t>
  </si>
  <si>
    <t>V70/XC70</t>
  </si>
  <si>
    <t>S80</t>
  </si>
  <si>
    <t>S90/V90</t>
  </si>
  <si>
    <t>XC40</t>
  </si>
  <si>
    <t>XC60</t>
  </si>
  <si>
    <t>XC90</t>
  </si>
  <si>
    <t>Autre Volvo</t>
  </si>
  <si>
    <t>Total_Volvo</t>
  </si>
  <si>
    <t>GEELY_GROUP</t>
  </si>
  <si>
    <t>GM</t>
  </si>
  <si>
    <t>Cadillac</t>
  </si>
  <si>
    <t>Chevrolet</t>
  </si>
  <si>
    <t>Matiz/Spark</t>
  </si>
  <si>
    <t>Aveo</t>
  </si>
  <si>
    <t>Cruze</t>
  </si>
  <si>
    <t>Malibu</t>
  </si>
  <si>
    <t>Trax</t>
  </si>
  <si>
    <t>Captiva</t>
  </si>
  <si>
    <t>Orlando</t>
  </si>
  <si>
    <t>Camaro</t>
  </si>
  <si>
    <t>Autre Chevrolet</t>
  </si>
  <si>
    <t>Total_Chevrolet</t>
  </si>
  <si>
    <t>Autre GM</t>
  </si>
  <si>
    <t>GREAT WALL</t>
  </si>
  <si>
    <t>GREAT_WALL</t>
  </si>
  <si>
    <t>HONDA MOTOR</t>
  </si>
  <si>
    <t>HONDA</t>
  </si>
  <si>
    <t>Jazz</t>
  </si>
  <si>
    <t>Civic</t>
  </si>
  <si>
    <t>Accord</t>
  </si>
  <si>
    <t>HR-V</t>
  </si>
  <si>
    <t>CR-V</t>
  </si>
  <si>
    <t>NSX</t>
  </si>
  <si>
    <t>Autre HONDA</t>
  </si>
  <si>
    <t>HONDA_ MOTOR</t>
  </si>
  <si>
    <t>HYUNDAI-KIA</t>
  </si>
  <si>
    <t>Hyundai</t>
  </si>
  <si>
    <t>i10</t>
  </si>
  <si>
    <t>i20</t>
  </si>
  <si>
    <t>i30</t>
  </si>
  <si>
    <t>i40</t>
  </si>
  <si>
    <t>Ioniq</t>
  </si>
  <si>
    <t>Ioniq E</t>
  </si>
  <si>
    <t>H-1/Starex/Satellite</t>
  </si>
  <si>
    <t>Elantra</t>
  </si>
  <si>
    <t>ix20</t>
  </si>
  <si>
    <t>Kona</t>
  </si>
  <si>
    <t>Kona VE</t>
  </si>
  <si>
    <t>ix35</t>
  </si>
  <si>
    <t>Tucson</t>
  </si>
  <si>
    <t>Nexo</t>
  </si>
  <si>
    <t>Genesis</t>
  </si>
  <si>
    <t>Santa_Fe</t>
  </si>
  <si>
    <t>Veloster</t>
  </si>
  <si>
    <t>Autre Hyundai</t>
  </si>
  <si>
    <t>Total_Hyundai</t>
  </si>
  <si>
    <t>Kia</t>
  </si>
  <si>
    <t>Picanto</t>
  </si>
  <si>
    <t>Rio</t>
  </si>
  <si>
    <t>Ceed</t>
  </si>
  <si>
    <t>Optima</t>
  </si>
  <si>
    <t>Stinger</t>
  </si>
  <si>
    <t>Venga</t>
  </si>
  <si>
    <t>Carens</t>
  </si>
  <si>
    <t>Soul</t>
  </si>
  <si>
    <t>Stonic</t>
  </si>
  <si>
    <t>Sportage</t>
  </si>
  <si>
    <t>Niro</t>
  </si>
  <si>
    <t>E-Niro</t>
  </si>
  <si>
    <t>Sorento</t>
  </si>
  <si>
    <t>Autre Kia</t>
  </si>
  <si>
    <t>Total_Kia</t>
  </si>
  <si>
    <t>MAHINDRA_&amp;_MAHINDRA</t>
  </si>
  <si>
    <t>Mahindra</t>
  </si>
  <si>
    <t>SsangYong</t>
  </si>
  <si>
    <t>Tivoli</t>
  </si>
  <si>
    <t>Korando</t>
  </si>
  <si>
    <t>Rexton</t>
  </si>
  <si>
    <t>Rodius/Stavic</t>
  </si>
  <si>
    <t>XLV</t>
  </si>
  <si>
    <t>Autre SsangYong</t>
  </si>
  <si>
    <t>Total_SsangYong</t>
  </si>
  <si>
    <t>MAZDA</t>
  </si>
  <si>
    <t>MX-5</t>
  </si>
  <si>
    <t>Mazda2</t>
  </si>
  <si>
    <t>Mazda3</t>
  </si>
  <si>
    <t>Mazda5</t>
  </si>
  <si>
    <t>Mazda6</t>
  </si>
  <si>
    <t>CX-3</t>
  </si>
  <si>
    <t>CX-30</t>
  </si>
  <si>
    <t>CX-5</t>
  </si>
  <si>
    <t>CX-9</t>
  </si>
  <si>
    <t>Autre MAZDA</t>
  </si>
  <si>
    <t>MITSUBISHI</t>
  </si>
  <si>
    <t>i-MiEV</t>
  </si>
  <si>
    <t>Mirage/Space_Star</t>
  </si>
  <si>
    <t>Attrage</t>
  </si>
  <si>
    <t>Colt</t>
  </si>
  <si>
    <t>Lancer</t>
  </si>
  <si>
    <t>ASX</t>
  </si>
  <si>
    <t>Eclipse_Cross</t>
  </si>
  <si>
    <t>Outlander</t>
  </si>
  <si>
    <t>Pajero/Montero/Shogun</t>
  </si>
  <si>
    <t>Autre MITSUBISHI</t>
  </si>
  <si>
    <t>PSA</t>
  </si>
  <si>
    <t>Citroen</t>
  </si>
  <si>
    <t>C-Zero</t>
  </si>
  <si>
    <t>C1</t>
  </si>
  <si>
    <t>C3</t>
  </si>
  <si>
    <t>C3_Aircross</t>
  </si>
  <si>
    <t>C-Elysee</t>
  </si>
  <si>
    <t>C4_Cactus</t>
  </si>
  <si>
    <t>C4</t>
  </si>
  <si>
    <t>C5</t>
  </si>
  <si>
    <t>C4_Aircross</t>
  </si>
  <si>
    <t>C5_Aircross</t>
  </si>
  <si>
    <t>Nemo</t>
  </si>
  <si>
    <t>Berlingo</t>
  </si>
  <si>
    <t>E-Mehari</t>
  </si>
  <si>
    <t>C3_Picasso</t>
  </si>
  <si>
    <t>C4_Picasso/Grand_&amp;_C4_Picasso</t>
  </si>
  <si>
    <t>C8</t>
  </si>
  <si>
    <t>Spacetourer</t>
  </si>
  <si>
    <t>Autre Citroen</t>
  </si>
  <si>
    <t>Total_Citroen</t>
  </si>
  <si>
    <t>DS</t>
  </si>
  <si>
    <t>DS 3</t>
  </si>
  <si>
    <t>DS 4</t>
  </si>
  <si>
    <t>DS 5</t>
  </si>
  <si>
    <t>DS 3 Crossback</t>
  </si>
  <si>
    <t>DS 7_Crossback</t>
  </si>
  <si>
    <t>Total_DS</t>
  </si>
  <si>
    <t>Opel/Vauxhall</t>
  </si>
  <si>
    <t>Adam</t>
  </si>
  <si>
    <t>Ampera-e</t>
  </si>
  <si>
    <t>Astra/Astra_Classic</t>
  </si>
  <si>
    <t>Cascada</t>
  </si>
  <si>
    <t>Corsa</t>
  </si>
  <si>
    <t>Crossland_X</t>
  </si>
  <si>
    <t>Grandland_X</t>
  </si>
  <si>
    <t>Insignia</t>
  </si>
  <si>
    <t>Karl/Viva</t>
  </si>
  <si>
    <t>Meriva</t>
  </si>
  <si>
    <t>Mokka/Mokka_X</t>
  </si>
  <si>
    <t>Zafira</t>
  </si>
  <si>
    <t>Combo</t>
  </si>
  <si>
    <t>Vivaro</t>
  </si>
  <si>
    <t>Autre Opel/Vauxhall</t>
  </si>
  <si>
    <t>Total_Opel/Vauxhall</t>
  </si>
  <si>
    <t>Peugeot</t>
  </si>
  <si>
    <t>iOn</t>
  </si>
  <si>
    <t>RCZ</t>
  </si>
  <si>
    <t>Bipper</t>
  </si>
  <si>
    <t>Rifter</t>
  </si>
  <si>
    <t>Partner</t>
  </si>
  <si>
    <t>Expert</t>
  </si>
  <si>
    <t>Traveller</t>
  </si>
  <si>
    <t>Autre Peugeot</t>
  </si>
  <si>
    <t>Total_Peugeot</t>
  </si>
  <si>
    <t>PSA_GROUP</t>
  </si>
  <si>
    <t>NISSAN_MOTOR</t>
  </si>
  <si>
    <t>Infiniti</t>
  </si>
  <si>
    <t>Q30</t>
  </si>
  <si>
    <t>Q50</t>
  </si>
  <si>
    <t>Q60</t>
  </si>
  <si>
    <t>Q70</t>
  </si>
  <si>
    <t>QX30</t>
  </si>
  <si>
    <t>QX50</t>
  </si>
  <si>
    <t>QX70</t>
  </si>
  <si>
    <t>Autre Infiniti</t>
  </si>
  <si>
    <t>Total_Infiniti</t>
  </si>
  <si>
    <t>Nissan</t>
  </si>
  <si>
    <t>Micra</t>
  </si>
  <si>
    <t>Juke</t>
  </si>
  <si>
    <t>Pulsar</t>
  </si>
  <si>
    <t>Leaf</t>
  </si>
  <si>
    <t>Qashqai</t>
  </si>
  <si>
    <t>370Z</t>
  </si>
  <si>
    <t>Note</t>
  </si>
  <si>
    <t>X-Trail</t>
  </si>
  <si>
    <t>Pathfinder</t>
  </si>
  <si>
    <t>Murano</t>
  </si>
  <si>
    <t>NV200/Evalia</t>
  </si>
  <si>
    <t>NV300</t>
  </si>
  <si>
    <t>Autre Nissan</t>
  </si>
  <si>
    <t>Total_Nissan</t>
  </si>
  <si>
    <t>RENAULT GROUP</t>
  </si>
  <si>
    <t>Dacia</t>
  </si>
  <si>
    <t>Duster</t>
  </si>
  <si>
    <t>Sandero</t>
  </si>
  <si>
    <t>Logan</t>
  </si>
  <si>
    <t>Lodgy</t>
  </si>
  <si>
    <t>Dokker</t>
  </si>
  <si>
    <t>Autre Dacia</t>
  </si>
  <si>
    <t>Total_Dacia</t>
  </si>
  <si>
    <t>Renault</t>
  </si>
  <si>
    <t>A110</t>
  </si>
  <si>
    <t>Twingo</t>
  </si>
  <si>
    <t>Clio</t>
  </si>
  <si>
    <t>Zoe</t>
  </si>
  <si>
    <t>Megane</t>
  </si>
  <si>
    <t>Fluence</t>
  </si>
  <si>
    <t>Laguna</t>
  </si>
  <si>
    <t>Talisman</t>
  </si>
  <si>
    <t>Scenic/Grand_Scenic</t>
  </si>
  <si>
    <t>Espace/Grand_Espace</t>
  </si>
  <si>
    <t>Captur</t>
  </si>
  <si>
    <t>Kadjar</t>
  </si>
  <si>
    <t>Koleos</t>
  </si>
  <si>
    <t>Kangoo</t>
  </si>
  <si>
    <t>Trafic</t>
  </si>
  <si>
    <t>Autre Renault</t>
  </si>
  <si>
    <t>Total_Renault</t>
  </si>
  <si>
    <t>RENAULT_GROUP</t>
  </si>
  <si>
    <t>RENAULT-NISSAN</t>
  </si>
  <si>
    <t>SAIC</t>
  </si>
  <si>
    <t>MG</t>
  </si>
  <si>
    <t>MG3</t>
  </si>
  <si>
    <t>MG_GS</t>
  </si>
  <si>
    <t>MG_ZS</t>
  </si>
  <si>
    <t>Autre MG</t>
  </si>
  <si>
    <t>Total_MG</t>
  </si>
  <si>
    <t>SUBARU</t>
  </si>
  <si>
    <t>Impreza</t>
  </si>
  <si>
    <t>XV</t>
  </si>
  <si>
    <t>Legacy/Outback</t>
  </si>
  <si>
    <t>Forester</t>
  </si>
  <si>
    <t>BRZ</t>
  </si>
  <si>
    <t>Levorg</t>
  </si>
  <si>
    <t>Autre SUBARU</t>
  </si>
  <si>
    <t>SUZUKI</t>
  </si>
  <si>
    <t>Alto</t>
  </si>
  <si>
    <t>Celerio</t>
  </si>
  <si>
    <t>Swift</t>
  </si>
  <si>
    <t>Baleno</t>
  </si>
  <si>
    <t>Kizashi</t>
  </si>
  <si>
    <t>Jimny</t>
  </si>
  <si>
    <t>Ignis</t>
  </si>
  <si>
    <t>SX4</t>
  </si>
  <si>
    <t>Vitara/Grand_Vitara/XL-7</t>
  </si>
  <si>
    <t>SX4_S-Cross</t>
  </si>
  <si>
    <t>Autre SUZUKI</t>
  </si>
  <si>
    <t>TATA MOTORS</t>
  </si>
  <si>
    <t>Jaguar</t>
  </si>
  <si>
    <t>XE</t>
  </si>
  <si>
    <t>XF</t>
  </si>
  <si>
    <t>XJ</t>
  </si>
  <si>
    <t>F-Type</t>
  </si>
  <si>
    <t>E-Pace</t>
  </si>
  <si>
    <t>F-Pace</t>
  </si>
  <si>
    <t>I-Pace</t>
  </si>
  <si>
    <t>XK</t>
  </si>
  <si>
    <t>Autre Jaguar</t>
  </si>
  <si>
    <t>Total_Jaguar</t>
  </si>
  <si>
    <t>Land Rover</t>
  </si>
  <si>
    <t>Defender</t>
  </si>
  <si>
    <t>Freelander</t>
  </si>
  <si>
    <t>Discovery_Sport</t>
  </si>
  <si>
    <t>Discovery</t>
  </si>
  <si>
    <t>Range_Rover_Evoque</t>
  </si>
  <si>
    <t>Range_Rover_Velar</t>
  </si>
  <si>
    <t>Range_Rover_Sport</t>
  </si>
  <si>
    <t>Range_Rover</t>
  </si>
  <si>
    <t>Autre Land Rover</t>
  </si>
  <si>
    <t>Total_Land_Rover</t>
  </si>
  <si>
    <t>TATA_MOTORS</t>
  </si>
  <si>
    <t>TESLA MOTORS</t>
  </si>
  <si>
    <t>TESLA</t>
  </si>
  <si>
    <t>Model S</t>
  </si>
  <si>
    <t>Model X</t>
  </si>
  <si>
    <t>Model 3</t>
  </si>
  <si>
    <t>Autre TESLA</t>
  </si>
  <si>
    <t>TESLA_MOTORS</t>
  </si>
  <si>
    <t>TOYOTA MOTOR</t>
  </si>
  <si>
    <t>Daihatsu</t>
  </si>
  <si>
    <t>Lexus</t>
  </si>
  <si>
    <t>CT</t>
  </si>
  <si>
    <t>IS</t>
  </si>
  <si>
    <t>GS</t>
  </si>
  <si>
    <t>ES</t>
  </si>
  <si>
    <t>LS</t>
  </si>
  <si>
    <t>UX</t>
  </si>
  <si>
    <t>NX</t>
  </si>
  <si>
    <t>RX</t>
  </si>
  <si>
    <t>RC</t>
  </si>
  <si>
    <t>LC</t>
  </si>
  <si>
    <t>Autre Lexus</t>
  </si>
  <si>
    <t>Total_Lexus</t>
  </si>
  <si>
    <t>Toyota</t>
  </si>
  <si>
    <t>iQ</t>
  </si>
  <si>
    <t>Aygo</t>
  </si>
  <si>
    <t>Yaris</t>
  </si>
  <si>
    <t>Auris</t>
  </si>
  <si>
    <t>Corolla</t>
  </si>
  <si>
    <t>Prius</t>
  </si>
  <si>
    <t>Prius+</t>
  </si>
  <si>
    <t>Avensis</t>
  </si>
  <si>
    <t>Verso-S</t>
  </si>
  <si>
    <t>Verso</t>
  </si>
  <si>
    <t>C-HR</t>
  </si>
  <si>
    <t>RAV4</t>
  </si>
  <si>
    <t>Land_Cruiser</t>
  </si>
  <si>
    <t>GT 86</t>
  </si>
  <si>
    <t>Proace/Proace_Verso</t>
  </si>
  <si>
    <t>Autre Toyota</t>
  </si>
  <si>
    <t>Total_Toyota</t>
  </si>
  <si>
    <t>TOYOTA_MOTOR</t>
  </si>
  <si>
    <t>VW GROUP</t>
  </si>
  <si>
    <t>Audi</t>
  </si>
  <si>
    <t>A1</t>
  </si>
  <si>
    <t>A3/S3/RS3</t>
  </si>
  <si>
    <t>A4/S4/RS4</t>
  </si>
  <si>
    <t>A5/S5/RS5</t>
  </si>
  <si>
    <t>A6/S6/RS6/allroad</t>
  </si>
  <si>
    <t>A7/S7/RS7</t>
  </si>
  <si>
    <t>A8/S8</t>
  </si>
  <si>
    <t>TT</t>
  </si>
  <si>
    <t>R8</t>
  </si>
  <si>
    <t>Q2</t>
  </si>
  <si>
    <t>Q3</t>
  </si>
  <si>
    <t>Q5</t>
  </si>
  <si>
    <t>Q7</t>
  </si>
  <si>
    <t>Q8</t>
  </si>
  <si>
    <t>E-Tron</t>
  </si>
  <si>
    <t>Autre Audi</t>
  </si>
  <si>
    <t>Total_Audi</t>
  </si>
  <si>
    <t>Bentley</t>
  </si>
  <si>
    <t>Continental_GT/GTC</t>
  </si>
  <si>
    <t>Flying_Spur</t>
  </si>
  <si>
    <t>Mulsanne</t>
  </si>
  <si>
    <t>Bentayga</t>
  </si>
  <si>
    <t>Autre Bentley</t>
  </si>
  <si>
    <t>Total_Bentley</t>
  </si>
  <si>
    <t>Bugatti</t>
  </si>
  <si>
    <t>Lamborghini</t>
  </si>
  <si>
    <t>Huracan</t>
  </si>
  <si>
    <t>Aventador</t>
  </si>
  <si>
    <t>Urus</t>
  </si>
  <si>
    <t>Autre Lamborghini</t>
  </si>
  <si>
    <t>Total_Lamborghini</t>
  </si>
  <si>
    <t>Porsche</t>
  </si>
  <si>
    <t>718/Boxster</t>
  </si>
  <si>
    <t>Cayman</t>
  </si>
  <si>
    <t>Panamera</t>
  </si>
  <si>
    <t>Macan</t>
  </si>
  <si>
    <t>Cayenne</t>
  </si>
  <si>
    <t>Autre Porsche</t>
  </si>
  <si>
    <t>Total_Porsche</t>
  </si>
  <si>
    <t>Seat</t>
  </si>
  <si>
    <t>Altea</t>
  </si>
  <si>
    <t>Alhambra</t>
  </si>
  <si>
    <t>Mii</t>
  </si>
  <si>
    <t>Ibiza</t>
  </si>
  <si>
    <t>Leon</t>
  </si>
  <si>
    <t>Toledo</t>
  </si>
  <si>
    <t>Arona</t>
  </si>
  <si>
    <t>Ateca</t>
  </si>
  <si>
    <t>Tarraco</t>
  </si>
  <si>
    <t>Autre Seat</t>
  </si>
  <si>
    <t>Total_Seat</t>
  </si>
  <si>
    <t>Skoda</t>
  </si>
  <si>
    <t>Citigo</t>
  </si>
  <si>
    <t>Fabia</t>
  </si>
  <si>
    <t>Rapid</t>
  </si>
  <si>
    <t>Octavia</t>
  </si>
  <si>
    <t>Superb</t>
  </si>
  <si>
    <t>Yeti</t>
  </si>
  <si>
    <t>Karoq</t>
  </si>
  <si>
    <t>Kodiaq</t>
  </si>
  <si>
    <t>Autre Skoda</t>
  </si>
  <si>
    <t>Total_Skoda</t>
  </si>
  <si>
    <t>VW</t>
  </si>
  <si>
    <t>Up</t>
  </si>
  <si>
    <t>Polo</t>
  </si>
  <si>
    <t>Golf</t>
  </si>
  <si>
    <t>Golf_Sportsvan</t>
  </si>
  <si>
    <t>Jetta</t>
  </si>
  <si>
    <t>Passat</t>
  </si>
  <si>
    <t>CC</t>
  </si>
  <si>
    <t>Arteon</t>
  </si>
  <si>
    <t>Phaeton</t>
  </si>
  <si>
    <t>Beetle</t>
  </si>
  <si>
    <t>Scirocco</t>
  </si>
  <si>
    <t>Eos</t>
  </si>
  <si>
    <t>Touran</t>
  </si>
  <si>
    <t>Sharan</t>
  </si>
  <si>
    <t>T-Roc</t>
  </si>
  <si>
    <t>Tiguan</t>
  </si>
  <si>
    <t>Touareg</t>
  </si>
  <si>
    <t>Caddy</t>
  </si>
  <si>
    <t>Transporter/Caravelle/Multivan/Shuttle/T5/T6</t>
  </si>
  <si>
    <t>Autre VW</t>
  </si>
  <si>
    <t>T-cross</t>
  </si>
  <si>
    <t>Total_VW</t>
  </si>
  <si>
    <t>Autre Groupe VW</t>
  </si>
  <si>
    <t>VW_GROUP</t>
  </si>
  <si>
    <t>Autres groupes (hors Chine)</t>
  </si>
  <si>
    <t>Autres Marques (hors Chine)</t>
  </si>
  <si>
    <t>Autre (Chine)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</si>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</sst>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_€_ ;_ * \(#,##0.00\)\ _€_ ;_ * &quot;-&quot;??_)\ _€_ ;_ @_ "/>
    <numFmt numFmtId="165" formatCode="_ * #,##0_)\ _€_ ;_ * \(#,##0\)\ _€_ ;_ * &quot;-&quot;??_)\ _€_ ;_ @_ "/>
    <numFmt numFmtId="166" formatCode="0.0%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432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D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5" fillId="0" borderId="0" xfId="0" applyFont="1" applyAlignment="1">
      <alignment horizontal="center"/>
    </xf>
    <xf numFmtId="0" fontId="6" fillId="2" borderId="0" xfId="0" applyFont="1" applyFill="1"/>
    <xf numFmtId="0" fontId="6" fillId="2" borderId="0" xfId="0" applyFont="1" applyFill="1" applyBorder="1"/>
    <xf numFmtId="0" fontId="0" fillId="0" borderId="0" xfId="0" applyAlignment="1">
      <alignment horizontal="center" vertical="center"/>
    </xf>
    <xf numFmtId="3" fontId="0" fillId="0" borderId="0" xfId="0" applyNumberFormat="1" applyBorder="1"/>
    <xf numFmtId="165" fontId="0" fillId="0" borderId="0" xfId="1" applyNumberFormat="1" applyFont="1"/>
    <xf numFmtId="3" fontId="0" fillId="0" borderId="0" xfId="0" applyNumberFormat="1" applyFill="1" applyBorder="1"/>
    <xf numFmtId="0" fontId="0" fillId="0" borderId="0" xfId="0" applyFill="1" applyBorder="1"/>
    <xf numFmtId="165" fontId="0" fillId="0" borderId="0" xfId="1" applyNumberFormat="1" applyFont="1" applyFill="1" applyBorder="1"/>
    <xf numFmtId="0" fontId="2" fillId="3" borderId="0" xfId="0" applyFont="1" applyFill="1" applyBorder="1"/>
    <xf numFmtId="3" fontId="2" fillId="3" borderId="0" xfId="0" applyNumberFormat="1" applyFont="1" applyFill="1" applyBorder="1"/>
    <xf numFmtId="165" fontId="2" fillId="3" borderId="0" xfId="1" applyNumberFormat="1" applyFont="1" applyFill="1" applyBorder="1"/>
    <xf numFmtId="0" fontId="0" fillId="0" borderId="1" xfId="0" applyBorder="1"/>
    <xf numFmtId="0" fontId="0" fillId="0" borderId="0" xfId="0" applyBorder="1"/>
    <xf numFmtId="0" fontId="2" fillId="4" borderId="0" xfId="0" applyFont="1" applyFill="1" applyBorder="1"/>
    <xf numFmtId="3" fontId="2" fillId="4" borderId="0" xfId="0" applyNumberFormat="1" applyFont="1" applyFill="1" applyBorder="1"/>
    <xf numFmtId="165" fontId="2" fillId="4" borderId="0" xfId="1" applyNumberFormat="1" applyFont="1" applyFill="1" applyBorder="1"/>
    <xf numFmtId="3" fontId="0" fillId="5" borderId="0" xfId="0" applyNumberFormat="1" applyFill="1" applyBorder="1"/>
    <xf numFmtId="165" fontId="0" fillId="5" borderId="0" xfId="1" applyNumberFormat="1" applyFont="1" applyFill="1"/>
    <xf numFmtId="166" fontId="0" fillId="5" borderId="0" xfId="2" applyNumberFormat="1" applyFont="1" applyFill="1" applyAlignment="1">
      <alignment horizontal="center" vertical="center"/>
    </xf>
    <xf numFmtId="3" fontId="0" fillId="6" borderId="0" xfId="0" applyNumberFormat="1" applyFill="1" applyBorder="1"/>
    <xf numFmtId="165" fontId="0" fillId="6" borderId="0" xfId="1" applyNumberFormat="1" applyFont="1" applyFill="1"/>
    <xf numFmtId="166" fontId="0" fillId="6" borderId="0" xfId="2" applyNumberFormat="1" applyFont="1" applyFill="1" applyAlignment="1">
      <alignment horizontal="center" vertical="center"/>
    </xf>
    <xf numFmtId="166" fontId="0" fillId="0" borderId="0" xfId="2" applyNumberFormat="1" applyFont="1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/>
    <xf numFmtId="3" fontId="0" fillId="0" borderId="3" xfId="0" applyNumberFormat="1" applyFill="1" applyBorder="1"/>
    <xf numFmtId="165" fontId="0" fillId="0" borderId="3" xfId="1" applyNumberFormat="1" applyFont="1" applyFill="1" applyBorder="1"/>
    <xf numFmtId="166" fontId="0" fillId="0" borderId="3" xfId="2" applyNumberFormat="1" applyFont="1" applyFill="1" applyBorder="1" applyAlignment="1">
      <alignment horizontal="center" vertical="center"/>
    </xf>
    <xf numFmtId="0" fontId="3" fillId="7" borderId="4" xfId="0" applyFont="1" applyFill="1" applyBorder="1"/>
    <xf numFmtId="0" fontId="3" fillId="7" borderId="5" xfId="0" applyFont="1" applyFill="1" applyBorder="1"/>
    <xf numFmtId="165" fontId="3" fillId="7" borderId="5" xfId="1" applyNumberFormat="1" applyFont="1" applyFill="1" applyBorder="1"/>
    <xf numFmtId="166" fontId="3" fillId="7" borderId="5" xfId="2" applyNumberFormat="1" applyFont="1" applyFill="1" applyBorder="1" applyAlignment="1">
      <alignment horizontal="center" vertical="center"/>
    </xf>
    <xf numFmtId="166" fontId="0" fillId="0" borderId="0" xfId="2" applyNumberFormat="1" applyFont="1" applyFill="1" applyBorder="1" applyAlignment="1">
      <alignment horizontal="center" vertical="center"/>
    </xf>
    <xf numFmtId="165" fontId="3" fillId="7" borderId="5" xfId="0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3" fillId="7" borderId="6" xfId="0" applyFont="1" applyFill="1" applyBorder="1"/>
    <xf numFmtId="3" fontId="3" fillId="7" borderId="6" xfId="0" applyNumberFormat="1" applyFont="1" applyFill="1" applyBorder="1"/>
    <xf numFmtId="166" fontId="3" fillId="7" borderId="6" xfId="2" applyNumberFormat="1" applyFont="1" applyFill="1" applyBorder="1" applyAlignment="1">
      <alignment horizontal="center" vertical="center"/>
    </xf>
    <xf numFmtId="0" fontId="2" fillId="8" borderId="7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/>
    </xf>
    <xf numFmtId="3" fontId="2" fillId="8" borderId="5" xfId="0" applyNumberFormat="1" applyFont="1" applyFill="1" applyBorder="1" applyAlignment="1">
      <alignment vertical="center"/>
    </xf>
    <xf numFmtId="166" fontId="2" fillId="8" borderId="5" xfId="2" applyNumberFormat="1" applyFont="1" applyFill="1" applyBorder="1" applyAlignment="1">
      <alignment horizontal="center" vertical="center"/>
    </xf>
    <xf numFmtId="3" fontId="0" fillId="9" borderId="0" xfId="0" applyNumberFormat="1" applyFill="1" applyBorder="1"/>
    <xf numFmtId="165" fontId="0" fillId="9" borderId="0" xfId="1" applyNumberFormat="1" applyFont="1" applyFill="1"/>
    <xf numFmtId="166" fontId="0" fillId="9" borderId="0" xfId="2" applyNumberFormat="1" applyFont="1" applyFill="1" applyAlignment="1">
      <alignment horizontal="center" vertical="center"/>
    </xf>
    <xf numFmtId="0" fontId="0" fillId="9" borderId="0" xfId="0" applyFill="1"/>
    <xf numFmtId="165" fontId="0" fillId="0" borderId="0" xfId="1" applyNumberFormat="1" applyFont="1" applyBorder="1"/>
    <xf numFmtId="0" fontId="3" fillId="9" borderId="0" xfId="0" applyFont="1" applyFill="1" applyBorder="1"/>
    <xf numFmtId="165" fontId="3" fillId="9" borderId="0" xfId="1" applyNumberFormat="1" applyFont="1" applyFill="1" applyBorder="1"/>
    <xf numFmtId="166" fontId="3" fillId="9" borderId="0" xfId="2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9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165" fontId="2" fillId="4" borderId="0" xfId="0" applyNumberFormat="1" applyFont="1" applyFill="1" applyBorder="1" applyAlignment="1">
      <alignment horizontal="left" vertical="center"/>
    </xf>
    <xf numFmtId="166" fontId="2" fillId="4" borderId="0" xfId="2" applyNumberFormat="1" applyFont="1" applyFill="1" applyBorder="1" applyAlignment="1">
      <alignment horizontal="center" vertical="center"/>
    </xf>
    <xf numFmtId="0" fontId="0" fillId="0" borderId="0" xfId="0" applyFill="1"/>
    <xf numFmtId="0" fontId="0" fillId="10" borderId="0" xfId="0" applyFill="1" applyBorder="1"/>
    <xf numFmtId="3" fontId="0" fillId="10" borderId="0" xfId="0" applyNumberFormat="1" applyFill="1" applyBorder="1"/>
    <xf numFmtId="0" fontId="0" fillId="10" borderId="0" xfId="0" applyFill="1"/>
    <xf numFmtId="166" fontId="0" fillId="10" borderId="0" xfId="2" applyNumberFormat="1" applyFont="1" applyFill="1" applyAlignment="1">
      <alignment horizontal="center" vertical="center"/>
    </xf>
    <xf numFmtId="0" fontId="0" fillId="11" borderId="0" xfId="0" applyFill="1" applyBorder="1"/>
    <xf numFmtId="165" fontId="0" fillId="11" borderId="0" xfId="1" applyNumberFormat="1" applyFont="1" applyFill="1" applyBorder="1"/>
    <xf numFmtId="166" fontId="0" fillId="11" borderId="0" xfId="2" applyNumberFormat="1" applyFont="1" applyFill="1" applyBorder="1" applyAlignment="1">
      <alignment horizontal="center" vertical="center"/>
    </xf>
    <xf numFmtId="0" fontId="0" fillId="11" borderId="1" xfId="0" applyFill="1" applyBorder="1"/>
    <xf numFmtId="3" fontId="0" fillId="11" borderId="0" xfId="0" applyNumberFormat="1" applyFill="1" applyBorder="1"/>
    <xf numFmtId="0" fontId="0" fillId="11" borderId="0" xfId="0" applyFill="1" applyAlignment="1">
      <alignment horizontal="center"/>
    </xf>
    <xf numFmtId="166" fontId="0" fillId="11" borderId="0" xfId="2" applyNumberFormat="1" applyFont="1" applyFill="1" applyAlignment="1">
      <alignment horizontal="center" vertical="center"/>
    </xf>
    <xf numFmtId="0" fontId="0" fillId="0" borderId="0" xfId="0" applyAlignment="1">
      <alignment horizontal="left"/>
    </xf>
    <xf numFmtId="165" fontId="0" fillId="0" borderId="0" xfId="1" applyNumberFormat="1" applyFont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165" fontId="0" fillId="11" borderId="0" xfId="1" applyNumberFormat="1" applyFont="1" applyFill="1" applyBorder="1" applyAlignment="1">
      <alignment vertical="center"/>
    </xf>
    <xf numFmtId="165" fontId="0" fillId="11" borderId="0" xfId="0" applyNumberFormat="1" applyFill="1" applyBorder="1"/>
    <xf numFmtId="0" fontId="2" fillId="12" borderId="0" xfId="0" applyFont="1" applyFill="1" applyBorder="1"/>
    <xf numFmtId="165" fontId="2" fillId="12" borderId="0" xfId="0" applyNumberFormat="1" applyFont="1" applyFill="1" applyBorder="1"/>
    <xf numFmtId="166" fontId="2" fillId="12" borderId="0" xfId="2" applyNumberFormat="1" applyFont="1" applyFill="1" applyAlignment="1">
      <alignment horizontal="center" vertical="center"/>
    </xf>
    <xf numFmtId="0" fontId="0" fillId="13" borderId="0" xfId="0" applyFont="1" applyFill="1" applyBorder="1"/>
    <xf numFmtId="165" fontId="0" fillId="13" borderId="0" xfId="1" applyNumberFormat="1" applyFont="1" applyFill="1" applyBorder="1"/>
    <xf numFmtId="166" fontId="0" fillId="13" borderId="0" xfId="2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165" fontId="2" fillId="4" borderId="0" xfId="0" applyNumberFormat="1" applyFont="1" applyFill="1" applyBorder="1" applyAlignment="1">
      <alignment vertical="center"/>
    </xf>
    <xf numFmtId="166" fontId="2" fillId="4" borderId="0" xfId="2" applyNumberFormat="1" applyFont="1" applyFill="1" applyAlignment="1">
      <alignment horizontal="center" vertical="center"/>
    </xf>
    <xf numFmtId="0" fontId="0" fillId="14" borderId="0" xfId="0" applyFill="1" applyBorder="1"/>
    <xf numFmtId="3" fontId="0" fillId="14" borderId="0" xfId="0" applyNumberFormat="1" applyFill="1" applyBorder="1"/>
    <xf numFmtId="165" fontId="0" fillId="14" borderId="0" xfId="1" applyNumberFormat="1" applyFont="1" applyFill="1" applyBorder="1" applyAlignment="1">
      <alignment horizontal="right"/>
    </xf>
    <xf numFmtId="166" fontId="0" fillId="14" borderId="0" xfId="2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right"/>
    </xf>
    <xf numFmtId="0" fontId="5" fillId="0" borderId="0" xfId="0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right"/>
    </xf>
    <xf numFmtId="166" fontId="0" fillId="14" borderId="0" xfId="2" applyNumberFormat="1" applyFont="1" applyFill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" fillId="8" borderId="0" xfId="0" applyFont="1" applyFill="1" applyBorder="1" applyAlignment="1">
      <alignment vertical="center"/>
    </xf>
    <xf numFmtId="165" fontId="2" fillId="8" borderId="0" xfId="1" applyNumberFormat="1" applyFont="1" applyFill="1" applyBorder="1" applyAlignment="1">
      <alignment horizontal="right" vertical="center"/>
    </xf>
    <xf numFmtId="166" fontId="2" fillId="8" borderId="0" xfId="2" applyNumberFormat="1" applyFont="1" applyFill="1" applyBorder="1" applyAlignment="1">
      <alignment horizontal="center" vertical="center"/>
    </xf>
    <xf numFmtId="0" fontId="0" fillId="15" borderId="0" xfId="0" applyFill="1" applyBorder="1"/>
    <xf numFmtId="3" fontId="0" fillId="15" borderId="0" xfId="0" applyNumberFormat="1" applyFill="1" applyBorder="1"/>
    <xf numFmtId="165" fontId="0" fillId="15" borderId="0" xfId="1" applyNumberFormat="1" applyFont="1" applyFill="1" applyBorder="1" applyAlignment="1">
      <alignment horizontal="right"/>
    </xf>
    <xf numFmtId="166" fontId="0" fillId="15" borderId="0" xfId="2" applyNumberFormat="1" applyFont="1" applyFill="1" applyBorder="1" applyAlignment="1">
      <alignment horizontal="center" vertical="center"/>
    </xf>
    <xf numFmtId="49" fontId="0" fillId="0" borderId="0" xfId="0" applyNumberFormat="1"/>
    <xf numFmtId="165" fontId="0" fillId="10" borderId="0" xfId="0" applyNumberFormat="1" applyFill="1" applyBorder="1"/>
    <xf numFmtId="0" fontId="0" fillId="15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16" borderId="0" xfId="0" applyFill="1" applyBorder="1"/>
    <xf numFmtId="165" fontId="0" fillId="16" borderId="0" xfId="1" applyNumberFormat="1" applyFont="1" applyFill="1" applyBorder="1" applyAlignment="1">
      <alignment horizontal="center"/>
    </xf>
    <xf numFmtId="166" fontId="0" fillId="16" borderId="0" xfId="2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2" fillId="17" borderId="0" xfId="0" applyFont="1" applyFill="1" applyBorder="1"/>
    <xf numFmtId="165" fontId="2" fillId="17" borderId="0" xfId="1" applyNumberFormat="1" applyFont="1" applyFill="1" applyBorder="1"/>
    <xf numFmtId="166" fontId="2" fillId="17" borderId="0" xfId="2" applyNumberFormat="1" applyFont="1" applyFill="1" applyAlignment="1">
      <alignment horizontal="center" vertical="center"/>
    </xf>
    <xf numFmtId="0" fontId="2" fillId="17" borderId="1" xfId="0" applyFont="1" applyFill="1" applyBorder="1"/>
    <xf numFmtId="165" fontId="2" fillId="17" borderId="0" xfId="0" applyNumberFormat="1" applyFont="1" applyFill="1"/>
    <xf numFmtId="0" fontId="2" fillId="18" borderId="8" xfId="0" applyFont="1" applyFill="1" applyBorder="1"/>
    <xf numFmtId="165" fontId="2" fillId="18" borderId="8" xfId="0" applyNumberFormat="1" applyFont="1" applyFill="1" applyBorder="1"/>
    <xf numFmtId="166" fontId="2" fillId="18" borderId="8" xfId="2" applyNumberFormat="1" applyFont="1" applyFill="1" applyBorder="1" applyAlignment="1">
      <alignment horizontal="center" vertical="center"/>
    </xf>
    <xf numFmtId="0" fontId="3" fillId="16" borderId="0" xfId="0" applyFont="1" applyFill="1" applyBorder="1"/>
    <xf numFmtId="3" fontId="3" fillId="16" borderId="0" xfId="0" applyNumberFormat="1" applyFont="1" applyFill="1" applyBorder="1"/>
    <xf numFmtId="165" fontId="3" fillId="16" borderId="0" xfId="1" applyNumberFormat="1" applyFont="1" applyFill="1" applyBorder="1"/>
    <xf numFmtId="166" fontId="3" fillId="16" borderId="0" xfId="2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3" fillId="19" borderId="0" xfId="0" applyFont="1" applyFill="1" applyBorder="1"/>
    <xf numFmtId="3" fontId="3" fillId="19" borderId="0" xfId="0" applyNumberFormat="1" applyFont="1" applyFill="1" applyBorder="1"/>
    <xf numFmtId="165" fontId="3" fillId="19" borderId="0" xfId="1" applyNumberFormat="1" applyFont="1" applyFill="1" applyBorder="1"/>
    <xf numFmtId="166" fontId="3" fillId="19" borderId="0" xfId="2" applyNumberFormat="1" applyFont="1" applyFill="1" applyBorder="1" applyAlignment="1">
      <alignment horizontal="center" vertical="center"/>
    </xf>
    <xf numFmtId="0" fontId="0" fillId="20" borderId="9" xfId="0" applyFont="1" applyFill="1" applyBorder="1"/>
    <xf numFmtId="0" fontId="0" fillId="20" borderId="10" xfId="0" applyFont="1" applyFill="1" applyBorder="1"/>
    <xf numFmtId="3" fontId="0" fillId="20" borderId="10" xfId="0" applyNumberFormat="1" applyFont="1" applyFill="1" applyBorder="1"/>
    <xf numFmtId="165" fontId="0" fillId="20" borderId="0" xfId="1" applyNumberFormat="1" applyFont="1" applyFill="1"/>
    <xf numFmtId="166" fontId="0" fillId="20" borderId="0" xfId="2" applyNumberFormat="1" applyFont="1" applyFill="1" applyAlignment="1">
      <alignment horizontal="center" vertical="center"/>
    </xf>
    <xf numFmtId="165" fontId="0" fillId="10" borderId="0" xfId="1" applyNumberFormat="1" applyFont="1" applyFill="1" applyBorder="1"/>
    <xf numFmtId="166" fontId="0" fillId="10" borderId="0" xfId="2" applyNumberFormat="1" applyFont="1" applyFill="1" applyBorder="1" applyAlignment="1">
      <alignment horizontal="center" vertical="center"/>
    </xf>
    <xf numFmtId="0" fontId="0" fillId="10" borderId="0" xfId="0" applyFont="1" applyFill="1" applyBorder="1"/>
    <xf numFmtId="165" fontId="0" fillId="10" borderId="0" xfId="0" applyNumberFormat="1" applyFont="1" applyFill="1" applyBorder="1"/>
    <xf numFmtId="165" fontId="0" fillId="0" borderId="0" xfId="1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21" borderId="0" xfId="0" applyFont="1" applyFill="1" applyBorder="1" applyAlignment="1">
      <alignment vertical="center"/>
    </xf>
    <xf numFmtId="165" fontId="2" fillId="21" borderId="0" xfId="0" applyNumberFormat="1" applyFont="1" applyFill="1" applyBorder="1" applyAlignment="1">
      <alignment vertical="center"/>
    </xf>
    <xf numFmtId="166" fontId="2" fillId="21" borderId="0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5" fontId="0" fillId="15" borderId="0" xfId="0" applyNumberFormat="1" applyFill="1" applyBorder="1"/>
    <xf numFmtId="0" fontId="0" fillId="22" borderId="0" xfId="0" applyFill="1" applyBorder="1"/>
    <xf numFmtId="165" fontId="0" fillId="22" borderId="0" xfId="0" applyNumberFormat="1" applyFill="1" applyBorder="1"/>
    <xf numFmtId="166" fontId="0" fillId="22" borderId="0" xfId="2" applyNumberFormat="1" applyFont="1" applyFill="1" applyBorder="1" applyAlignment="1">
      <alignment horizontal="center" vertical="center"/>
    </xf>
    <xf numFmtId="165" fontId="0" fillId="22" borderId="0" xfId="1" applyNumberFormat="1" applyFont="1" applyFill="1" applyBorder="1"/>
    <xf numFmtId="0" fontId="0" fillId="23" borderId="0" xfId="0" applyFill="1" applyBorder="1"/>
    <xf numFmtId="165" fontId="0" fillId="23" borderId="0" xfId="0" applyNumberFormat="1" applyFill="1" applyBorder="1"/>
    <xf numFmtId="166" fontId="0" fillId="23" borderId="0" xfId="2" applyNumberFormat="1" applyFont="1" applyFill="1" applyBorder="1" applyAlignment="1">
      <alignment horizontal="center" vertical="center"/>
    </xf>
    <xf numFmtId="165" fontId="2" fillId="17" borderId="0" xfId="0" applyNumberFormat="1" applyFont="1" applyFill="1" applyBorder="1"/>
    <xf numFmtId="166" fontId="2" fillId="17" borderId="0" xfId="2" applyNumberFormat="1" applyFont="1" applyFill="1" applyBorder="1" applyAlignment="1">
      <alignment horizontal="center" vertical="center"/>
    </xf>
    <xf numFmtId="0" fontId="0" fillId="24" borderId="0" xfId="0" applyFill="1" applyBorder="1"/>
    <xf numFmtId="165" fontId="0" fillId="24" borderId="0" xfId="1" applyNumberFormat="1" applyFont="1" applyFill="1" applyBorder="1"/>
    <xf numFmtId="166" fontId="0" fillId="24" borderId="0" xfId="2" applyNumberFormat="1" applyFont="1" applyFill="1" applyBorder="1" applyAlignment="1">
      <alignment horizontal="center" vertical="center"/>
    </xf>
    <xf numFmtId="0" fontId="0" fillId="25" borderId="0" xfId="0" applyFill="1" applyBorder="1"/>
    <xf numFmtId="165" fontId="0" fillId="25" borderId="0" xfId="1" applyNumberFormat="1" applyFont="1" applyFill="1" applyBorder="1"/>
    <xf numFmtId="166" fontId="0" fillId="25" borderId="0" xfId="2" applyNumberFormat="1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26" borderId="0" xfId="0" applyFill="1" applyBorder="1"/>
    <xf numFmtId="165" fontId="0" fillId="26" borderId="0" xfId="0" applyNumberFormat="1" applyFill="1" applyBorder="1"/>
    <xf numFmtId="166" fontId="0" fillId="26" borderId="0" xfId="2" applyNumberFormat="1" applyFont="1" applyFill="1" applyBorder="1" applyAlignment="1">
      <alignment horizontal="center" vertical="center"/>
    </xf>
    <xf numFmtId="0" fontId="0" fillId="13" borderId="0" xfId="0" applyFill="1" applyBorder="1"/>
    <xf numFmtId="165" fontId="0" fillId="13" borderId="0" xfId="0" applyNumberFormat="1" applyFill="1" applyBorder="1"/>
    <xf numFmtId="0" fontId="2" fillId="27" borderId="0" xfId="0" applyFont="1" applyFill="1" applyBorder="1"/>
    <xf numFmtId="165" fontId="2" fillId="27" borderId="0" xfId="1" applyNumberFormat="1" applyFont="1" applyFill="1"/>
    <xf numFmtId="166" fontId="2" fillId="27" borderId="0" xfId="2" applyNumberFormat="1" applyFont="1" applyFill="1" applyAlignment="1">
      <alignment horizontal="center" vertical="center"/>
    </xf>
    <xf numFmtId="0" fontId="0" fillId="5" borderId="0" xfId="0" applyFill="1" applyBorder="1"/>
    <xf numFmtId="165" fontId="0" fillId="5" borderId="0" xfId="0" applyNumberFormat="1" applyFill="1" applyBorder="1"/>
    <xf numFmtId="166" fontId="0" fillId="5" borderId="0" xfId="2" applyNumberFormat="1" applyFont="1" applyFill="1" applyBorder="1" applyAlignment="1">
      <alignment horizontal="center" vertical="center"/>
    </xf>
    <xf numFmtId="0" fontId="0" fillId="28" borderId="0" xfId="0" applyFill="1" applyBorder="1"/>
    <xf numFmtId="165" fontId="0" fillId="28" borderId="0" xfId="1" applyNumberFormat="1" applyFont="1" applyFill="1" applyBorder="1"/>
    <xf numFmtId="166" fontId="0" fillId="28" borderId="0" xfId="2" applyNumberFormat="1" applyFont="1" applyFill="1" applyBorder="1" applyAlignment="1">
      <alignment horizontal="center" vertical="center"/>
    </xf>
    <xf numFmtId="0" fontId="2" fillId="7" borderId="0" xfId="0" applyFont="1" applyFill="1" applyBorder="1"/>
    <xf numFmtId="165" fontId="2" fillId="7" borderId="0" xfId="1" applyNumberFormat="1" applyFont="1" applyFill="1" applyBorder="1"/>
    <xf numFmtId="166" fontId="2" fillId="7" borderId="0" xfId="2" applyNumberFormat="1" applyFont="1" applyFill="1" applyBorder="1" applyAlignment="1">
      <alignment horizontal="center" vertical="center"/>
    </xf>
    <xf numFmtId="165" fontId="0" fillId="5" borderId="0" xfId="1" applyNumberFormat="1" applyFont="1" applyFill="1" applyBorder="1"/>
    <xf numFmtId="3" fontId="0" fillId="24" borderId="0" xfId="0" applyNumberFormat="1" applyFill="1" applyBorder="1"/>
    <xf numFmtId="165" fontId="0" fillId="24" borderId="0" xfId="1" applyNumberFormat="1" applyFont="1" applyFill="1"/>
    <xf numFmtId="166" fontId="0" fillId="24" borderId="0" xfId="2" applyNumberFormat="1" applyFont="1" applyFill="1" applyAlignment="1">
      <alignment horizontal="center" vertical="center"/>
    </xf>
    <xf numFmtId="0" fontId="4" fillId="29" borderId="0" xfId="0" applyFont="1" applyFill="1" applyBorder="1"/>
    <xf numFmtId="165" fontId="4" fillId="29" borderId="0" xfId="1" applyNumberFormat="1" applyFont="1" applyFill="1" applyBorder="1"/>
    <xf numFmtId="166" fontId="4" fillId="29" borderId="0" xfId="2" applyNumberFormat="1" applyFont="1" applyFill="1" applyBorder="1" applyAlignment="1">
      <alignment horizontal="center" vertical="center"/>
    </xf>
    <xf numFmtId="165" fontId="4" fillId="29" borderId="0" xfId="0" applyNumberFormat="1" applyFont="1" applyFill="1" applyBorder="1"/>
    <xf numFmtId="3" fontId="4" fillId="29" borderId="0" xfId="0" applyNumberFormat="1" applyFont="1" applyFill="1" applyBorder="1"/>
    <xf numFmtId="166" fontId="4" fillId="29" borderId="0" xfId="2" applyNumberFormat="1" applyFont="1" applyFill="1" applyAlignment="1">
      <alignment horizontal="center" vertical="center"/>
    </xf>
    <xf numFmtId="0" fontId="4" fillId="8" borderId="0" xfId="0" applyFont="1" applyFill="1" applyBorder="1"/>
    <xf numFmtId="165" fontId="4" fillId="8" borderId="0" xfId="0" applyNumberFormat="1" applyFont="1" applyFill="1" applyBorder="1"/>
    <xf numFmtId="166" fontId="4" fillId="8" borderId="0" xfId="2" applyNumberFormat="1" applyFont="1" applyFill="1" applyAlignment="1">
      <alignment horizontal="center" vertical="center"/>
    </xf>
    <xf numFmtId="0" fontId="3" fillId="0" borderId="0" xfId="0" applyFont="1"/>
    <xf numFmtId="0" fontId="7" fillId="30" borderId="0" xfId="0" applyFont="1" applyFill="1" applyAlignment="1">
      <alignment horizontal="center" vertical="center"/>
    </xf>
    <xf numFmtId="0" fontId="7" fillId="30" borderId="0" xfId="0" applyFont="1" applyFill="1" applyBorder="1" applyAlignment="1">
      <alignment vertical="center"/>
    </xf>
    <xf numFmtId="165" fontId="7" fillId="30" borderId="0" xfId="0" applyNumberFormat="1" applyFont="1" applyFill="1" applyBorder="1" applyAlignment="1">
      <alignment vertical="center"/>
    </xf>
    <xf numFmtId="166" fontId="7" fillId="30" borderId="0" xfId="2" applyNumberFormat="1" applyFont="1" applyFill="1" applyAlignment="1">
      <alignment horizontal="center" vertical="center"/>
    </xf>
    <xf numFmtId="166" fontId="0" fillId="9" borderId="0" xfId="2" applyNumberFormat="1" applyFont="1" applyFill="1" applyAlignment="1">
      <alignment horizontal="center" vertical="center"/>
    </xf>
    <xf numFmtId="166" fontId="0" fillId="5" borderId="0" xfId="2" applyNumberFormat="1" applyFont="1" applyFill="1" applyAlignment="1">
      <alignment horizontal="center" vertical="center"/>
    </xf>
    <xf numFmtId="166" fontId="0" fillId="24" borderId="0" xfId="2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66" fontId="0" fillId="6" borderId="0" xfId="2" applyNumberFormat="1" applyFont="1" applyFill="1" applyAlignment="1">
      <alignment horizontal="center" vertical="center"/>
    </xf>
    <xf numFmtId="166" fontId="0" fillId="0" borderId="0" xfId="2" applyNumberFormat="1" applyFont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EA962-696F-3546-AA85-684B848849D4}">
  <dimension ref="A1:J540"/>
  <sheetViews>
    <sheetView tabSelected="1" workbookViewId="0">
      <selection activeCell="J2" sqref="J2"/>
    </sheetView>
  </sheetViews>
  <sheetFormatPr baseColWidth="10" defaultRowHeight="15.75" x14ac:dyDescent="0.25"/>
  <cols>
    <col min="1" max="1" width="4.875" bestFit="1" customWidth="1"/>
    <col min="2" max="2" width="24.125" bestFit="1" customWidth="1"/>
    <col min="3" max="3" width="24.875" bestFit="1" customWidth="1"/>
    <col min="4" max="4" width="40.125" bestFit="1" customWidth="1"/>
    <col min="5" max="6" width="15.125" bestFit="1" customWidth="1"/>
  </cols>
  <sheetData>
    <row r="1" spans="1:9" ht="26.25" x14ac:dyDescent="0.4">
      <c r="A1" s="1"/>
      <c r="B1" s="2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4"/>
    </row>
    <row r="2" spans="1:9" ht="26.25" x14ac:dyDescent="0.4">
      <c r="A2" s="1"/>
      <c r="B2" t="s">
        <v>5</v>
      </c>
      <c r="C2" t="s">
        <v>5</v>
      </c>
      <c r="D2" t="s">
        <v>6</v>
      </c>
      <c r="E2" s="5">
        <v>341</v>
      </c>
      <c r="G2" s="4"/>
    </row>
    <row r="3" spans="1:9" ht="26.25" x14ac:dyDescent="0.4">
      <c r="A3" s="1"/>
      <c r="B3" t="s">
        <v>5</v>
      </c>
      <c r="C3" t="s">
        <v>5</v>
      </c>
      <c r="D3" t="s">
        <v>7</v>
      </c>
      <c r="E3" s="5">
        <v>7</v>
      </c>
      <c r="F3" s="6"/>
      <c r="G3" s="4"/>
    </row>
    <row r="4" spans="1:9" ht="26.25" x14ac:dyDescent="0.4">
      <c r="A4" s="1"/>
      <c r="B4" t="s">
        <v>5</v>
      </c>
      <c r="C4" t="s">
        <v>5</v>
      </c>
      <c r="D4" t="s">
        <v>8</v>
      </c>
      <c r="E4" s="7"/>
      <c r="F4" s="6"/>
      <c r="G4" s="4"/>
    </row>
    <row r="5" spans="1:9" ht="26.25" x14ac:dyDescent="0.4">
      <c r="A5" s="1"/>
      <c r="B5" t="s">
        <v>5</v>
      </c>
      <c r="C5" t="s">
        <v>5</v>
      </c>
      <c r="D5" t="s">
        <v>9</v>
      </c>
      <c r="E5" s="5">
        <v>297</v>
      </c>
      <c r="F5" s="6"/>
      <c r="G5" s="4"/>
    </row>
    <row r="6" spans="1:9" ht="26.25" x14ac:dyDescent="0.4">
      <c r="A6" s="1"/>
      <c r="B6" t="s">
        <v>5</v>
      </c>
      <c r="C6" t="s">
        <v>5</v>
      </c>
      <c r="D6" t="s">
        <v>10</v>
      </c>
      <c r="E6" s="5">
        <v>69</v>
      </c>
      <c r="F6" s="6"/>
      <c r="G6" s="4"/>
    </row>
    <row r="7" spans="1:9" ht="26.25" x14ac:dyDescent="0.4">
      <c r="A7" s="1"/>
      <c r="B7" s="8" t="s">
        <v>5</v>
      </c>
      <c r="C7" s="8" t="s">
        <v>5</v>
      </c>
      <c r="D7" s="8" t="s">
        <v>11</v>
      </c>
      <c r="E7" s="7">
        <v>1100</v>
      </c>
      <c r="F7" s="9"/>
      <c r="G7" s="4"/>
    </row>
    <row r="8" spans="1:9" ht="26.25" x14ac:dyDescent="0.4">
      <c r="A8" s="1"/>
      <c r="B8" s="8" t="s">
        <v>5</v>
      </c>
      <c r="C8" s="8" t="s">
        <v>12</v>
      </c>
      <c r="D8" s="8" t="s">
        <v>13</v>
      </c>
      <c r="E8" s="7">
        <v>522</v>
      </c>
      <c r="F8" s="9"/>
      <c r="G8" s="4"/>
    </row>
    <row r="9" spans="1:9" ht="26.25" x14ac:dyDescent="0.4">
      <c r="A9" s="1">
        <v>1</v>
      </c>
      <c r="B9" s="10" t="s">
        <v>5</v>
      </c>
      <c r="C9" s="10" t="s">
        <v>5</v>
      </c>
      <c r="D9" s="10" t="s">
        <v>14</v>
      </c>
      <c r="E9" s="11">
        <v>2336</v>
      </c>
      <c r="F9" s="12">
        <f>E9*1.1</f>
        <v>2569.6000000000004</v>
      </c>
      <c r="G9" s="4"/>
    </row>
    <row r="10" spans="1:9" ht="26.25" x14ac:dyDescent="0.4">
      <c r="A10" s="1"/>
      <c r="B10" t="s">
        <v>15</v>
      </c>
      <c r="C10" t="s">
        <v>16</v>
      </c>
      <c r="D10" t="s">
        <v>17</v>
      </c>
      <c r="E10" s="5">
        <v>2373</v>
      </c>
      <c r="F10" s="6"/>
      <c r="G10" s="4"/>
    </row>
    <row r="11" spans="1:9" ht="26.25" x14ac:dyDescent="0.4">
      <c r="A11" s="1"/>
      <c r="B11" t="s">
        <v>15</v>
      </c>
      <c r="C11" t="s">
        <v>16</v>
      </c>
      <c r="D11" t="s">
        <v>18</v>
      </c>
      <c r="E11" s="5">
        <v>211</v>
      </c>
      <c r="F11" s="6"/>
      <c r="G11" s="4"/>
    </row>
    <row r="12" spans="1:9" ht="26.25" x14ac:dyDescent="0.4">
      <c r="A12" s="1"/>
      <c r="B12" t="s">
        <v>15</v>
      </c>
      <c r="C12" t="s">
        <v>16</v>
      </c>
      <c r="D12" t="s">
        <v>19</v>
      </c>
      <c r="E12" s="5">
        <v>890</v>
      </c>
      <c r="F12" s="6"/>
      <c r="G12" s="4"/>
    </row>
    <row r="13" spans="1:9" ht="26.25" x14ac:dyDescent="0.4">
      <c r="A13" s="1"/>
      <c r="B13" s="8" t="s">
        <v>15</v>
      </c>
      <c r="C13" s="8" t="s">
        <v>20</v>
      </c>
      <c r="D13" s="8" t="s">
        <v>13</v>
      </c>
      <c r="E13" s="7">
        <v>586</v>
      </c>
      <c r="F13" s="9"/>
      <c r="G13" s="4"/>
    </row>
    <row r="14" spans="1:9" ht="26.25" x14ac:dyDescent="0.4">
      <c r="A14" s="1"/>
      <c r="B14" s="13" t="s">
        <v>15</v>
      </c>
      <c r="C14" s="14" t="s">
        <v>16</v>
      </c>
      <c r="D14" s="14" t="s">
        <v>21</v>
      </c>
      <c r="E14" s="5">
        <v>4060</v>
      </c>
      <c r="F14" s="6"/>
      <c r="G14" s="4"/>
    </row>
    <row r="15" spans="1:9" ht="26.25" x14ac:dyDescent="0.4">
      <c r="A15" s="1">
        <v>2</v>
      </c>
      <c r="B15" s="15" t="s">
        <v>15</v>
      </c>
      <c r="C15" s="15" t="s">
        <v>22</v>
      </c>
      <c r="D15" s="15" t="s">
        <v>15</v>
      </c>
      <c r="E15" s="16">
        <v>4060</v>
      </c>
      <c r="F15" s="17">
        <f>E15*0.8</f>
        <v>3248</v>
      </c>
      <c r="G15" s="4"/>
    </row>
    <row r="16" spans="1:9" ht="26.25" x14ac:dyDescent="0.4">
      <c r="A16" s="1"/>
      <c r="B16" t="s">
        <v>23</v>
      </c>
      <c r="C16" t="s">
        <v>24</v>
      </c>
      <c r="D16" t="s">
        <v>25</v>
      </c>
      <c r="E16" s="18">
        <v>126450</v>
      </c>
      <c r="F16" s="19">
        <v>120369</v>
      </c>
      <c r="G16" s="20">
        <f>F16/E16-1</f>
        <v>-4.8090154211150704E-2</v>
      </c>
      <c r="H16" s="197" t="s">
        <v>26</v>
      </c>
      <c r="I16" s="195">
        <f>(SUM(F16:F25)/SUM(E16:E25))-1</f>
        <v>-0.11834871505004341</v>
      </c>
    </row>
    <row r="17" spans="1:9" ht="26.25" x14ac:dyDescent="0.4">
      <c r="A17" s="1"/>
      <c r="B17" t="s">
        <v>23</v>
      </c>
      <c r="C17" t="s">
        <v>24</v>
      </c>
      <c r="D17" t="s">
        <v>27</v>
      </c>
      <c r="E17" s="18">
        <v>33000</v>
      </c>
      <c r="F17" s="19">
        <f>E17*0.7</f>
        <v>23100</v>
      </c>
      <c r="G17" s="20">
        <f t="shared" ref="G17:G36" si="0">F17/E17-1</f>
        <v>-0.30000000000000004</v>
      </c>
      <c r="H17" s="197"/>
      <c r="I17" s="195"/>
    </row>
    <row r="18" spans="1:9" ht="26.25" x14ac:dyDescent="0.4">
      <c r="A18" s="1"/>
      <c r="B18" t="s">
        <v>23</v>
      </c>
      <c r="C18" t="s">
        <v>24</v>
      </c>
      <c r="D18" t="s">
        <v>28</v>
      </c>
      <c r="E18" s="18">
        <v>69695</v>
      </c>
      <c r="F18" s="19">
        <v>52689</v>
      </c>
      <c r="G18" s="20">
        <f t="shared" si="0"/>
        <v>-0.24400602625726375</v>
      </c>
      <c r="H18" s="197"/>
      <c r="I18" s="195"/>
    </row>
    <row r="19" spans="1:9" ht="26.25" x14ac:dyDescent="0.4">
      <c r="A19" s="1"/>
      <c r="B19" t="s">
        <v>23</v>
      </c>
      <c r="C19" t="s">
        <v>24</v>
      </c>
      <c r="D19" t="s">
        <v>29</v>
      </c>
      <c r="E19" s="18">
        <v>103581</v>
      </c>
      <c r="F19" s="19">
        <v>95869</v>
      </c>
      <c r="G19" s="20">
        <f t="shared" si="0"/>
        <v>-7.4453809096262868E-2</v>
      </c>
      <c r="H19" s="197"/>
      <c r="I19" s="195"/>
    </row>
    <row r="20" spans="1:9" ht="26.25" x14ac:dyDescent="0.4">
      <c r="A20" s="1"/>
      <c r="B20" t="s">
        <v>23</v>
      </c>
      <c r="C20" t="s">
        <v>24</v>
      </c>
      <c r="D20" t="s">
        <v>30</v>
      </c>
      <c r="E20" s="18">
        <v>51170</v>
      </c>
      <c r="F20" s="19">
        <f>E20*0.7</f>
        <v>35819</v>
      </c>
      <c r="G20" s="20">
        <f t="shared" si="0"/>
        <v>-0.30000000000000004</v>
      </c>
      <c r="H20" s="197"/>
      <c r="I20" s="195"/>
    </row>
    <row r="21" spans="1:9" ht="26.25" x14ac:dyDescent="0.4">
      <c r="A21" s="1"/>
      <c r="B21" t="s">
        <v>23</v>
      </c>
      <c r="C21" t="s">
        <v>24</v>
      </c>
      <c r="D21" t="s">
        <v>31</v>
      </c>
      <c r="E21" s="18">
        <v>107760</v>
      </c>
      <c r="F21" s="19">
        <f>0.85*E21</f>
        <v>91596</v>
      </c>
      <c r="G21" s="20">
        <f t="shared" si="0"/>
        <v>-0.15000000000000002</v>
      </c>
      <c r="H21" s="197"/>
      <c r="I21" s="195"/>
    </row>
    <row r="22" spans="1:9" ht="26.25" x14ac:dyDescent="0.4">
      <c r="A22" s="1"/>
      <c r="B22" t="s">
        <v>23</v>
      </c>
      <c r="C22" t="s">
        <v>24</v>
      </c>
      <c r="D22" t="s">
        <v>32</v>
      </c>
      <c r="E22" s="18">
        <v>10408</v>
      </c>
      <c r="F22" s="19">
        <f>E22*0.6</f>
        <v>6244.8</v>
      </c>
      <c r="G22" s="20">
        <f t="shared" si="0"/>
        <v>-0.4</v>
      </c>
      <c r="H22" s="197"/>
      <c r="I22" s="195"/>
    </row>
    <row r="23" spans="1:9" ht="26.25" x14ac:dyDescent="0.4">
      <c r="A23" s="1"/>
      <c r="B23" t="s">
        <v>23</v>
      </c>
      <c r="C23" t="s">
        <v>24</v>
      </c>
      <c r="D23" t="s">
        <v>33</v>
      </c>
      <c r="E23" s="18">
        <v>9530</v>
      </c>
      <c r="F23" s="19">
        <f>E23*0.96</f>
        <v>9148.7999999999993</v>
      </c>
      <c r="G23" s="20">
        <f t="shared" si="0"/>
        <v>-4.0000000000000036E-2</v>
      </c>
      <c r="H23" s="197"/>
      <c r="I23" s="195"/>
    </row>
    <row r="24" spans="1:9" ht="26.25" x14ac:dyDescent="0.4">
      <c r="A24" s="1"/>
      <c r="B24" t="s">
        <v>23</v>
      </c>
      <c r="C24" t="s">
        <v>24</v>
      </c>
      <c r="D24" t="s">
        <v>34</v>
      </c>
      <c r="E24" s="18">
        <v>1299</v>
      </c>
      <c r="F24" s="19">
        <v>7500</v>
      </c>
      <c r="G24" s="20">
        <f t="shared" si="0"/>
        <v>4.7736720554272516</v>
      </c>
      <c r="H24" s="197"/>
      <c r="I24" s="195"/>
    </row>
    <row r="25" spans="1:9" ht="26.25" x14ac:dyDescent="0.4">
      <c r="A25" s="1"/>
      <c r="B25" t="s">
        <v>23</v>
      </c>
      <c r="C25" t="s">
        <v>24</v>
      </c>
      <c r="D25" t="s">
        <v>35</v>
      </c>
      <c r="E25" s="18">
        <v>162</v>
      </c>
      <c r="F25" s="19">
        <v>10000</v>
      </c>
      <c r="G25" s="20" t="s">
        <v>36</v>
      </c>
      <c r="H25" s="197"/>
      <c r="I25" s="195"/>
    </row>
    <row r="26" spans="1:9" ht="26.25" x14ac:dyDescent="0.4">
      <c r="A26" s="1"/>
      <c r="B26" t="s">
        <v>23</v>
      </c>
      <c r="C26" t="s">
        <v>24</v>
      </c>
      <c r="D26" t="s">
        <v>37</v>
      </c>
      <c r="E26" s="21">
        <v>110606</v>
      </c>
      <c r="F26" s="22">
        <v>102695</v>
      </c>
      <c r="G26" s="23">
        <f t="shared" si="0"/>
        <v>-7.1524148780355512E-2</v>
      </c>
      <c r="H26" s="198" t="s">
        <v>38</v>
      </c>
      <c r="I26" s="199">
        <f>(SUM(F26:F32)/SUM(E26:E32))-1</f>
        <v>0.15574001647532043</v>
      </c>
    </row>
    <row r="27" spans="1:9" ht="26.25" x14ac:dyDescent="0.4">
      <c r="A27" s="1"/>
      <c r="B27" t="s">
        <v>23</v>
      </c>
      <c r="C27" t="s">
        <v>24</v>
      </c>
      <c r="D27" t="s">
        <v>39</v>
      </c>
      <c r="E27" s="21">
        <v>37290</v>
      </c>
      <c r="F27" s="22">
        <v>53258</v>
      </c>
      <c r="G27" s="23">
        <f t="shared" si="0"/>
        <v>0.42821131670689194</v>
      </c>
      <c r="H27" s="198"/>
      <c r="I27" s="199"/>
    </row>
    <row r="28" spans="1:9" ht="26.25" x14ac:dyDescent="0.4">
      <c r="A28" s="1"/>
      <c r="B28" t="s">
        <v>23</v>
      </c>
      <c r="C28" t="s">
        <v>24</v>
      </c>
      <c r="D28" t="s">
        <v>40</v>
      </c>
      <c r="E28" s="21">
        <v>63668</v>
      </c>
      <c r="F28" s="22">
        <v>75587</v>
      </c>
      <c r="G28" s="23">
        <f t="shared" si="0"/>
        <v>0.18720550354966381</v>
      </c>
      <c r="H28" s="198"/>
      <c r="I28" s="199"/>
    </row>
    <row r="29" spans="1:9" ht="26.25" x14ac:dyDescent="0.4">
      <c r="A29" s="1"/>
      <c r="B29" t="s">
        <v>23</v>
      </c>
      <c r="C29" t="s">
        <v>24</v>
      </c>
      <c r="D29" t="s">
        <v>41</v>
      </c>
      <c r="E29" s="21">
        <v>17618</v>
      </c>
      <c r="F29" s="22">
        <v>25478</v>
      </c>
      <c r="G29" s="23">
        <f t="shared" si="0"/>
        <v>0.44613463503235318</v>
      </c>
      <c r="H29" s="198"/>
      <c r="I29" s="199"/>
    </row>
    <row r="30" spans="1:9" ht="26.25" x14ac:dyDescent="0.4">
      <c r="A30" s="1"/>
      <c r="B30" t="s">
        <v>23</v>
      </c>
      <c r="C30" t="s">
        <v>24</v>
      </c>
      <c r="D30" t="s">
        <v>42</v>
      </c>
      <c r="E30" s="21">
        <v>31074</v>
      </c>
      <c r="F30" s="22">
        <v>45852</v>
      </c>
      <c r="G30" s="23">
        <f t="shared" si="0"/>
        <v>0.47557443521915421</v>
      </c>
      <c r="H30" s="198"/>
      <c r="I30" s="199"/>
    </row>
    <row r="31" spans="1:9" ht="26.25" x14ac:dyDescent="0.4">
      <c r="A31" s="1"/>
      <c r="B31" t="s">
        <v>23</v>
      </c>
      <c r="C31" t="s">
        <v>24</v>
      </c>
      <c r="D31" t="s">
        <v>43</v>
      </c>
      <c r="E31" s="21">
        <v>9238</v>
      </c>
      <c r="F31" s="22">
        <v>4567</v>
      </c>
      <c r="G31" s="23">
        <f t="shared" si="0"/>
        <v>-0.50562892400952586</v>
      </c>
      <c r="H31" s="198"/>
      <c r="I31" s="199"/>
    </row>
    <row r="32" spans="1:9" ht="26.25" x14ac:dyDescent="0.4">
      <c r="A32" s="1"/>
      <c r="B32" t="s">
        <v>23</v>
      </c>
      <c r="C32" t="s">
        <v>24</v>
      </c>
      <c r="D32" t="s">
        <v>44</v>
      </c>
      <c r="E32" s="21"/>
      <c r="F32" s="22">
        <v>4028</v>
      </c>
      <c r="G32" s="23"/>
      <c r="H32" s="198"/>
      <c r="I32" s="199"/>
    </row>
    <row r="33" spans="1:8" ht="26.25" x14ac:dyDescent="0.4">
      <c r="A33" s="1"/>
      <c r="B33" t="s">
        <v>23</v>
      </c>
      <c r="C33" t="s">
        <v>24</v>
      </c>
      <c r="D33" t="s">
        <v>45</v>
      </c>
      <c r="E33" s="5">
        <v>24169</v>
      </c>
      <c r="F33" s="6">
        <v>30258</v>
      </c>
      <c r="G33" s="24">
        <f t="shared" si="0"/>
        <v>0.25193429599900696</v>
      </c>
    </row>
    <row r="34" spans="1:8" ht="26.25" x14ac:dyDescent="0.4">
      <c r="A34" s="1"/>
      <c r="B34" t="s">
        <v>23</v>
      </c>
      <c r="C34" t="s">
        <v>24</v>
      </c>
      <c r="D34" t="s">
        <v>46</v>
      </c>
      <c r="E34" s="5">
        <v>1489</v>
      </c>
      <c r="F34" s="6">
        <v>1158</v>
      </c>
      <c r="G34" s="24">
        <f t="shared" si="0"/>
        <v>-0.22229684351914036</v>
      </c>
    </row>
    <row r="35" spans="1:8" ht="26.25" x14ac:dyDescent="0.4">
      <c r="A35" s="1"/>
      <c r="B35" s="25" t="s">
        <v>23</v>
      </c>
      <c r="C35" s="26" t="s">
        <v>47</v>
      </c>
      <c r="D35" s="26" t="s">
        <v>13</v>
      </c>
      <c r="E35" s="27">
        <v>1509</v>
      </c>
      <c r="F35" s="28">
        <v>1125</v>
      </c>
      <c r="G35" s="29">
        <f t="shared" si="0"/>
        <v>-0.25447316103379725</v>
      </c>
    </row>
    <row r="36" spans="1:8" ht="26.25" x14ac:dyDescent="0.4">
      <c r="A36" s="1"/>
      <c r="B36" s="30" t="s">
        <v>23</v>
      </c>
      <c r="C36" s="31" t="s">
        <v>24</v>
      </c>
      <c r="D36" s="31" t="s">
        <v>48</v>
      </c>
      <c r="E36" s="32">
        <f>SUM(E16:E35)</f>
        <v>809716</v>
      </c>
      <c r="F36" s="32">
        <f>SUM(F16:F35)</f>
        <v>796341.6</v>
      </c>
      <c r="G36" s="33">
        <f t="shared" si="0"/>
        <v>-1.6517396222873182E-2</v>
      </c>
    </row>
    <row r="37" spans="1:8" ht="26.25" x14ac:dyDescent="0.4">
      <c r="A37" s="1"/>
      <c r="B37" t="s">
        <v>23</v>
      </c>
      <c r="C37" t="s">
        <v>49</v>
      </c>
      <c r="D37" t="s">
        <v>50</v>
      </c>
      <c r="E37" s="5">
        <v>134079</v>
      </c>
      <c r="F37" s="6">
        <v>130258</v>
      </c>
      <c r="G37" s="34">
        <f>F37/E37-1</f>
        <v>-2.8498124240186717E-2</v>
      </c>
    </row>
    <row r="38" spans="1:8" ht="26.25" x14ac:dyDescent="0.4">
      <c r="A38" s="1"/>
      <c r="B38" t="s">
        <v>23</v>
      </c>
      <c r="C38" t="s">
        <v>49</v>
      </c>
      <c r="D38" t="s">
        <v>51</v>
      </c>
      <c r="E38" s="5">
        <v>56479</v>
      </c>
      <c r="F38" s="6">
        <v>57482</v>
      </c>
      <c r="G38" s="34">
        <f t="shared" ref="G38:G40" si="1">F38/E38-1</f>
        <v>1.7758813010145369E-2</v>
      </c>
    </row>
    <row r="39" spans="1:8" ht="26.25" x14ac:dyDescent="0.4">
      <c r="A39" s="1"/>
      <c r="B39" t="s">
        <v>23</v>
      </c>
      <c r="C39" t="s">
        <v>49</v>
      </c>
      <c r="D39" t="s">
        <v>52</v>
      </c>
      <c r="E39" s="5">
        <v>26710</v>
      </c>
      <c r="F39" s="6">
        <f>E39*0.83</f>
        <v>22169.3</v>
      </c>
      <c r="G39" s="34">
        <f t="shared" si="1"/>
        <v>-0.17000000000000004</v>
      </c>
    </row>
    <row r="40" spans="1:8" ht="26.25" x14ac:dyDescent="0.4">
      <c r="A40" s="1"/>
      <c r="B40" s="31" t="s">
        <v>23</v>
      </c>
      <c r="C40" s="31" t="s">
        <v>49</v>
      </c>
      <c r="D40" s="31" t="s">
        <v>53</v>
      </c>
      <c r="E40" s="35">
        <f>SUM(E37:E39)</f>
        <v>217268</v>
      </c>
      <c r="F40" s="35">
        <f>SUM(F37:F39)</f>
        <v>209909.3</v>
      </c>
      <c r="G40" s="33">
        <f t="shared" si="1"/>
        <v>-3.3869230627612046E-2</v>
      </c>
    </row>
    <row r="41" spans="1:8" ht="26.25" x14ac:dyDescent="0.4">
      <c r="A41" s="1"/>
      <c r="B41" t="s">
        <v>23</v>
      </c>
      <c r="C41" t="s">
        <v>54</v>
      </c>
      <c r="D41" t="s">
        <v>55</v>
      </c>
      <c r="E41" s="5">
        <v>176</v>
      </c>
      <c r="G41" s="4"/>
    </row>
    <row r="42" spans="1:8" ht="26.25" x14ac:dyDescent="0.4">
      <c r="A42" s="1"/>
      <c r="B42" t="s">
        <v>23</v>
      </c>
      <c r="C42" t="s">
        <v>54</v>
      </c>
      <c r="D42" t="s">
        <v>56</v>
      </c>
      <c r="E42" s="5">
        <v>111</v>
      </c>
      <c r="G42" s="4"/>
    </row>
    <row r="43" spans="1:8" ht="26.25" x14ac:dyDescent="0.4">
      <c r="A43" s="1"/>
      <c r="B43" t="s">
        <v>23</v>
      </c>
      <c r="C43" t="s">
        <v>54</v>
      </c>
      <c r="D43" t="s">
        <v>57</v>
      </c>
      <c r="E43" s="5">
        <v>157</v>
      </c>
      <c r="G43" s="4"/>
    </row>
    <row r="44" spans="1:8" ht="26.25" x14ac:dyDescent="0.4">
      <c r="A44" s="1"/>
      <c r="B44" t="s">
        <v>23</v>
      </c>
      <c r="C44" t="s">
        <v>54</v>
      </c>
      <c r="D44" t="s">
        <v>58</v>
      </c>
      <c r="E44" s="5">
        <v>195</v>
      </c>
      <c r="G44" s="4"/>
    </row>
    <row r="45" spans="1:8" ht="26.25" x14ac:dyDescent="0.4">
      <c r="A45" s="1"/>
      <c r="B45" s="8" t="s">
        <v>23</v>
      </c>
      <c r="C45" s="8" t="s">
        <v>59</v>
      </c>
      <c r="D45" s="8" t="s">
        <v>13</v>
      </c>
      <c r="E45" s="7">
        <v>81</v>
      </c>
      <c r="F45" s="8"/>
      <c r="G45" s="36"/>
    </row>
    <row r="46" spans="1:8" ht="26.25" x14ac:dyDescent="0.4">
      <c r="A46" s="1"/>
      <c r="B46" s="37" t="s">
        <v>23</v>
      </c>
      <c r="C46" s="37" t="s">
        <v>54</v>
      </c>
      <c r="D46" s="37" t="s">
        <v>60</v>
      </c>
      <c r="E46" s="38">
        <v>720</v>
      </c>
      <c r="F46" s="37">
        <v>700</v>
      </c>
      <c r="G46" s="39">
        <f t="shared" ref="G46:G76" si="2">F46/E46-1</f>
        <v>-2.777777777777779E-2</v>
      </c>
    </row>
    <row r="47" spans="1:8" ht="26.25" x14ac:dyDescent="0.4">
      <c r="A47" s="1">
        <v>3</v>
      </c>
      <c r="B47" s="40" t="s">
        <v>23</v>
      </c>
      <c r="C47" s="41" t="s">
        <v>22</v>
      </c>
      <c r="D47" s="41" t="s">
        <v>61</v>
      </c>
      <c r="E47" s="42">
        <f>E36+E40+E46</f>
        <v>1027704</v>
      </c>
      <c r="F47" s="42">
        <f>F36+F40+F46</f>
        <v>1006950.8999999999</v>
      </c>
      <c r="G47" s="43">
        <f t="shared" si="2"/>
        <v>-2.0193654982368581E-2</v>
      </c>
    </row>
    <row r="48" spans="1:8" ht="26.25" x14ac:dyDescent="0.4">
      <c r="A48" s="1"/>
      <c r="B48" t="s">
        <v>62</v>
      </c>
      <c r="C48" t="s">
        <v>63</v>
      </c>
      <c r="D48" t="s">
        <v>64</v>
      </c>
      <c r="E48" s="5">
        <v>155815</v>
      </c>
      <c r="F48" s="6">
        <v>198589</v>
      </c>
      <c r="G48" s="24">
        <f t="shared" si="2"/>
        <v>0.27451785771588111</v>
      </c>
      <c r="H48" s="200">
        <f>SUM(F48:F59)/SUM(E48:E59)-1</f>
        <v>2.6419200964473255E-2</v>
      </c>
    </row>
    <row r="49" spans="1:9" ht="26.25" x14ac:dyDescent="0.4">
      <c r="A49" s="1"/>
      <c r="B49" t="s">
        <v>62</v>
      </c>
      <c r="C49" t="s">
        <v>63</v>
      </c>
      <c r="D49" t="s">
        <v>65</v>
      </c>
      <c r="E49" s="5">
        <v>58252</v>
      </c>
      <c r="F49" s="6">
        <v>55896</v>
      </c>
      <c r="G49" s="24">
        <f t="shared" si="2"/>
        <v>-4.0444963263063904E-2</v>
      </c>
      <c r="H49" s="200"/>
    </row>
    <row r="50" spans="1:9" ht="26.25" x14ac:dyDescent="0.4">
      <c r="A50" s="1"/>
      <c r="B50" t="s">
        <v>62</v>
      </c>
      <c r="C50" t="s">
        <v>63</v>
      </c>
      <c r="D50" t="s">
        <v>66</v>
      </c>
      <c r="E50" s="5">
        <v>57897</v>
      </c>
      <c r="F50" s="6">
        <v>50278</v>
      </c>
      <c r="G50" s="24">
        <f t="shared" si="2"/>
        <v>-0.13159576489282687</v>
      </c>
      <c r="H50" s="200"/>
    </row>
    <row r="51" spans="1:9" ht="26.25" x14ac:dyDescent="0.4">
      <c r="A51" s="1"/>
      <c r="B51" t="s">
        <v>62</v>
      </c>
      <c r="C51" t="s">
        <v>63</v>
      </c>
      <c r="D51" t="s">
        <v>67</v>
      </c>
      <c r="E51" s="5">
        <v>150093</v>
      </c>
      <c r="F51" s="6">
        <f>E51</f>
        <v>150093</v>
      </c>
      <c r="G51" s="24">
        <f t="shared" si="2"/>
        <v>0</v>
      </c>
      <c r="H51" s="200"/>
    </row>
    <row r="52" spans="1:9" ht="26.25" x14ac:dyDescent="0.4">
      <c r="A52" s="1"/>
      <c r="B52" t="s">
        <v>62</v>
      </c>
      <c r="C52" t="s">
        <v>63</v>
      </c>
      <c r="D52" t="s">
        <v>68</v>
      </c>
      <c r="E52" s="5">
        <v>118008</v>
      </c>
      <c r="F52" s="6">
        <f>E52*0.87</f>
        <v>102666.96</v>
      </c>
      <c r="G52" s="24">
        <f t="shared" si="2"/>
        <v>-0.12999999999999989</v>
      </c>
      <c r="H52" s="200"/>
    </row>
    <row r="53" spans="1:9" ht="26.25" x14ac:dyDescent="0.4">
      <c r="A53" s="1"/>
      <c r="B53" t="s">
        <v>62</v>
      </c>
      <c r="C53" t="s">
        <v>63</v>
      </c>
      <c r="D53" t="s">
        <v>69</v>
      </c>
      <c r="E53" s="5">
        <v>14595</v>
      </c>
      <c r="F53" s="6">
        <f>E53*0.85</f>
        <v>12405.75</v>
      </c>
      <c r="G53" s="24">
        <f t="shared" si="2"/>
        <v>-0.15000000000000002</v>
      </c>
      <c r="H53" s="200"/>
    </row>
    <row r="54" spans="1:9" ht="26.25" x14ac:dyDescent="0.4">
      <c r="A54" s="1"/>
      <c r="B54" t="s">
        <v>62</v>
      </c>
      <c r="C54" t="s">
        <v>63</v>
      </c>
      <c r="D54" t="s">
        <v>70</v>
      </c>
      <c r="E54" s="5">
        <v>9160</v>
      </c>
      <c r="F54" s="6">
        <f>E54</f>
        <v>9160</v>
      </c>
      <c r="G54" s="24">
        <f t="shared" si="2"/>
        <v>0</v>
      </c>
      <c r="H54" s="200"/>
    </row>
    <row r="55" spans="1:9" ht="26.25" x14ac:dyDescent="0.4">
      <c r="A55" s="1"/>
      <c r="B55" t="s">
        <v>62</v>
      </c>
      <c r="C55" t="s">
        <v>63</v>
      </c>
      <c r="D55" t="s">
        <v>71</v>
      </c>
      <c r="E55" s="5">
        <v>128</v>
      </c>
      <c r="F55" s="6">
        <v>20</v>
      </c>
      <c r="G55" s="24">
        <f t="shared" si="2"/>
        <v>-0.84375</v>
      </c>
      <c r="H55" s="200"/>
    </row>
    <row r="56" spans="1:9" ht="26.25" x14ac:dyDescent="0.4">
      <c r="A56" s="1"/>
      <c r="B56" t="s">
        <v>62</v>
      </c>
      <c r="C56" t="s">
        <v>63</v>
      </c>
      <c r="D56" t="s">
        <v>72</v>
      </c>
      <c r="E56" s="5">
        <v>5260</v>
      </c>
      <c r="F56" s="6">
        <f>E56*0.8</f>
        <v>4208</v>
      </c>
      <c r="G56" s="24">
        <f t="shared" si="2"/>
        <v>-0.19999999999999996</v>
      </c>
      <c r="H56" s="200"/>
    </row>
    <row r="57" spans="1:9" ht="26.25" x14ac:dyDescent="0.4">
      <c r="A57" s="1"/>
      <c r="B57" t="s">
        <v>62</v>
      </c>
      <c r="C57" t="s">
        <v>63</v>
      </c>
      <c r="D57" t="s">
        <v>73</v>
      </c>
      <c r="E57" s="5">
        <v>944</v>
      </c>
      <c r="F57" s="6">
        <f>0.9*E57</f>
        <v>849.6</v>
      </c>
      <c r="G57" s="24">
        <f t="shared" si="2"/>
        <v>-9.9999999999999978E-2</v>
      </c>
      <c r="H57" s="200"/>
    </row>
    <row r="58" spans="1:9" ht="26.25" x14ac:dyDescent="0.4">
      <c r="A58" s="1"/>
      <c r="B58" t="s">
        <v>62</v>
      </c>
      <c r="C58" t="s">
        <v>63</v>
      </c>
      <c r="D58" t="s">
        <v>74</v>
      </c>
      <c r="E58" s="5">
        <v>3837</v>
      </c>
      <c r="F58" s="6">
        <f>E58*1.3</f>
        <v>4988.1000000000004</v>
      </c>
      <c r="G58" s="24">
        <f t="shared" si="2"/>
        <v>0.30000000000000004</v>
      </c>
      <c r="H58" s="200"/>
    </row>
    <row r="59" spans="1:9" ht="26.25" x14ac:dyDescent="0.4">
      <c r="A59" s="1"/>
      <c r="B59" t="s">
        <v>62</v>
      </c>
      <c r="C59" t="s">
        <v>63</v>
      </c>
      <c r="D59" t="s">
        <v>75</v>
      </c>
      <c r="E59" s="5">
        <v>3</v>
      </c>
      <c r="F59" s="6">
        <v>2</v>
      </c>
      <c r="G59" s="24">
        <f t="shared" si="2"/>
        <v>-0.33333333333333337</v>
      </c>
      <c r="H59" s="200"/>
    </row>
    <row r="60" spans="1:9" ht="26.25" x14ac:dyDescent="0.4">
      <c r="A60" s="1"/>
      <c r="B60" t="s">
        <v>62</v>
      </c>
      <c r="C60" t="s">
        <v>63</v>
      </c>
      <c r="D60" t="s">
        <v>76</v>
      </c>
      <c r="E60" s="21">
        <v>5896</v>
      </c>
      <c r="F60" s="22">
        <f>E60*0.6</f>
        <v>3537.6</v>
      </c>
      <c r="G60" s="23">
        <f t="shared" si="2"/>
        <v>-0.4</v>
      </c>
      <c r="H60" s="199">
        <f>SUM(F60:F63)/SUM(E60:E63)-1</f>
        <v>-6.2185700461633298E-3</v>
      </c>
    </row>
    <row r="61" spans="1:9" ht="26.25" x14ac:dyDescent="0.4">
      <c r="A61" s="1"/>
      <c r="B61" t="s">
        <v>62</v>
      </c>
      <c r="C61" t="s">
        <v>63</v>
      </c>
      <c r="D61" t="s">
        <v>77</v>
      </c>
      <c r="E61" s="21">
        <v>29267</v>
      </c>
      <c r="F61" s="22">
        <v>27846</v>
      </c>
      <c r="G61" s="23">
        <f t="shared" si="2"/>
        <v>-4.8552977756517568E-2</v>
      </c>
      <c r="H61" s="199"/>
    </row>
    <row r="62" spans="1:9" ht="26.25" x14ac:dyDescent="0.4">
      <c r="A62" s="1"/>
      <c r="B62" t="s">
        <v>62</v>
      </c>
      <c r="C62" t="s">
        <v>63</v>
      </c>
      <c r="D62" t="s">
        <v>78</v>
      </c>
      <c r="E62" s="21">
        <v>20647</v>
      </c>
      <c r="F62" s="22">
        <v>22589</v>
      </c>
      <c r="G62" s="23">
        <f t="shared" si="2"/>
        <v>9.405724802634774E-2</v>
      </c>
      <c r="H62" s="199"/>
    </row>
    <row r="63" spans="1:9" ht="26.25" x14ac:dyDescent="0.4">
      <c r="A63" s="1"/>
      <c r="B63" t="s">
        <v>62</v>
      </c>
      <c r="C63" t="s">
        <v>63</v>
      </c>
      <c r="D63" t="s">
        <v>79</v>
      </c>
      <c r="E63" s="21">
        <v>7227</v>
      </c>
      <c r="F63" s="22">
        <f>E63*1.2</f>
        <v>8672.4</v>
      </c>
      <c r="G63" s="23">
        <f t="shared" si="2"/>
        <v>0.19999999999999996</v>
      </c>
      <c r="H63" s="199"/>
    </row>
    <row r="64" spans="1:9" ht="26.25" x14ac:dyDescent="0.4">
      <c r="A64" s="1"/>
      <c r="B64" t="s">
        <v>62</v>
      </c>
      <c r="C64" t="s">
        <v>63</v>
      </c>
      <c r="D64" t="s">
        <v>80</v>
      </c>
      <c r="E64" s="44">
        <v>71600</v>
      </c>
      <c r="F64" s="45">
        <f>E64*1.08</f>
        <v>77328</v>
      </c>
      <c r="G64" s="46">
        <f t="shared" si="2"/>
        <v>8.0000000000000071E-2</v>
      </c>
      <c r="H64" s="194">
        <f>SUM(F64:F70)/SUM(E64:E70)-1</f>
        <v>-4.9837000133743259E-2</v>
      </c>
      <c r="I64" s="47"/>
    </row>
    <row r="65" spans="1:9" ht="26.25" x14ac:dyDescent="0.4">
      <c r="A65" s="1"/>
      <c r="B65" t="s">
        <v>62</v>
      </c>
      <c r="C65" t="s">
        <v>63</v>
      </c>
      <c r="D65" t="s">
        <v>81</v>
      </c>
      <c r="E65" s="44">
        <v>124508</v>
      </c>
      <c r="F65" s="45">
        <f>E65*0.8</f>
        <v>99606.400000000009</v>
      </c>
      <c r="G65" s="46">
        <f t="shared" si="2"/>
        <v>-0.19999999999999996</v>
      </c>
      <c r="H65" s="194"/>
      <c r="I65" s="47"/>
    </row>
    <row r="66" spans="1:9" ht="26.25" x14ac:dyDescent="0.4">
      <c r="A66" s="1"/>
      <c r="B66" t="s">
        <v>62</v>
      </c>
      <c r="C66" t="s">
        <v>63</v>
      </c>
      <c r="D66" t="s">
        <v>82</v>
      </c>
      <c r="E66" s="44">
        <v>2664</v>
      </c>
      <c r="F66" s="45">
        <v>15000</v>
      </c>
      <c r="G66" s="46">
        <f t="shared" si="2"/>
        <v>4.6306306306306304</v>
      </c>
      <c r="H66" s="194"/>
      <c r="I66" s="47"/>
    </row>
    <row r="67" spans="1:9" ht="26.25" x14ac:dyDescent="0.4">
      <c r="A67" s="1"/>
      <c r="B67" t="s">
        <v>62</v>
      </c>
      <c r="C67" t="s">
        <v>63</v>
      </c>
      <c r="D67" t="s">
        <v>83</v>
      </c>
      <c r="E67" s="44">
        <v>24779</v>
      </c>
      <c r="F67" s="45">
        <f>E67*0.8</f>
        <v>19823.2</v>
      </c>
      <c r="G67" s="46">
        <f t="shared" si="2"/>
        <v>-0.19999999999999996</v>
      </c>
      <c r="H67" s="194"/>
      <c r="I67" s="47"/>
    </row>
    <row r="68" spans="1:9" ht="26.25" x14ac:dyDescent="0.4">
      <c r="A68" s="1"/>
      <c r="B68" t="s">
        <v>62</v>
      </c>
      <c r="C68" t="s">
        <v>63</v>
      </c>
      <c r="D68" t="s">
        <v>84</v>
      </c>
      <c r="E68" s="44">
        <v>5978</v>
      </c>
      <c r="F68" s="45">
        <f>0.7*E68</f>
        <v>4184.5999999999995</v>
      </c>
      <c r="G68" s="46">
        <f t="shared" si="2"/>
        <v>-0.30000000000000004</v>
      </c>
      <c r="H68" s="194"/>
      <c r="I68" s="47"/>
    </row>
    <row r="69" spans="1:9" ht="26.25" x14ac:dyDescent="0.4">
      <c r="A69" s="1"/>
      <c r="B69" t="s">
        <v>62</v>
      </c>
      <c r="C69" t="s">
        <v>63</v>
      </c>
      <c r="D69" t="s">
        <v>85</v>
      </c>
      <c r="E69" s="44">
        <v>6174</v>
      </c>
      <c r="F69" s="45">
        <f>E69*1.5</f>
        <v>9261</v>
      </c>
      <c r="G69" s="46">
        <f t="shared" si="2"/>
        <v>0.5</v>
      </c>
      <c r="H69" s="194"/>
      <c r="I69" s="47"/>
    </row>
    <row r="70" spans="1:9" ht="26.25" x14ac:dyDescent="0.4">
      <c r="A70" s="1"/>
      <c r="B70" t="s">
        <v>62</v>
      </c>
      <c r="C70" t="s">
        <v>63</v>
      </c>
      <c r="D70" t="s">
        <v>86</v>
      </c>
      <c r="E70" s="44">
        <v>3561</v>
      </c>
      <c r="F70" s="45">
        <f>E70*0.6</f>
        <v>2136.6</v>
      </c>
      <c r="G70" s="46">
        <f t="shared" si="2"/>
        <v>-0.4</v>
      </c>
      <c r="H70" s="194"/>
      <c r="I70" s="47"/>
    </row>
    <row r="71" spans="1:9" ht="26.25" x14ac:dyDescent="0.4">
      <c r="A71" s="1"/>
      <c r="B71" s="14" t="s">
        <v>62</v>
      </c>
      <c r="C71" s="14" t="s">
        <v>87</v>
      </c>
      <c r="D71" s="8" t="s">
        <v>13</v>
      </c>
      <c r="E71" s="5">
        <v>1195</v>
      </c>
      <c r="F71" s="48">
        <f>E71*1.4</f>
        <v>1673</v>
      </c>
      <c r="G71" s="24">
        <f t="shared" si="2"/>
        <v>0.39999999999999991</v>
      </c>
    </row>
    <row r="72" spans="1:9" ht="26.25" x14ac:dyDescent="0.4">
      <c r="A72" s="1"/>
      <c r="B72" s="49" t="s">
        <v>62</v>
      </c>
      <c r="C72" s="49" t="s">
        <v>63</v>
      </c>
      <c r="D72" s="49" t="s">
        <v>88</v>
      </c>
      <c r="E72" s="50">
        <f>SUM(E48:E71)</f>
        <v>877488</v>
      </c>
      <c r="F72" s="50">
        <f>SUM(F48:F71)</f>
        <v>880814.20999999985</v>
      </c>
      <c r="G72" s="51">
        <f t="shared" si="2"/>
        <v>3.7906045438795832E-3</v>
      </c>
    </row>
    <row r="73" spans="1:9" ht="26.25" x14ac:dyDescent="0.4">
      <c r="A73" s="1"/>
      <c r="B73" t="s">
        <v>62</v>
      </c>
      <c r="C73" t="s">
        <v>89</v>
      </c>
      <c r="D73" t="s">
        <v>90</v>
      </c>
      <c r="E73" s="5">
        <v>63227</v>
      </c>
      <c r="F73" s="52">
        <v>64000</v>
      </c>
      <c r="G73" s="24">
        <f t="shared" si="2"/>
        <v>1.2225789615196048E-2</v>
      </c>
    </row>
    <row r="74" spans="1:9" ht="26.25" x14ac:dyDescent="0.4">
      <c r="A74" s="1"/>
      <c r="B74" t="s">
        <v>62</v>
      </c>
      <c r="C74" t="s">
        <v>89</v>
      </c>
      <c r="D74" t="s">
        <v>91</v>
      </c>
      <c r="E74" s="5">
        <v>35812</v>
      </c>
      <c r="F74" s="52">
        <v>35452</v>
      </c>
      <c r="G74" s="24">
        <f t="shared" si="2"/>
        <v>-1.0052496369931885E-2</v>
      </c>
    </row>
    <row r="75" spans="1:9" ht="26.25" x14ac:dyDescent="0.4">
      <c r="A75" s="1"/>
      <c r="B75" s="49" t="s">
        <v>62</v>
      </c>
      <c r="C75" s="49" t="s">
        <v>89</v>
      </c>
      <c r="D75" s="49" t="s">
        <v>92</v>
      </c>
      <c r="E75" s="53">
        <f>SUM(E73:E74)</f>
        <v>99039</v>
      </c>
      <c r="F75" s="53">
        <f>SUM(F73:F74)</f>
        <v>99452</v>
      </c>
      <c r="G75" s="51">
        <f t="shared" si="2"/>
        <v>4.1700744151293989E-3</v>
      </c>
    </row>
    <row r="76" spans="1:9" ht="26.25" x14ac:dyDescent="0.4">
      <c r="A76" s="1">
        <v>4</v>
      </c>
      <c r="B76" s="54" t="s">
        <v>62</v>
      </c>
      <c r="C76" s="54" t="s">
        <v>22</v>
      </c>
      <c r="D76" s="54" t="s">
        <v>62</v>
      </c>
      <c r="E76" s="55">
        <f>E75+E72</f>
        <v>976527</v>
      </c>
      <c r="F76" s="55">
        <f>F75+F72</f>
        <v>980266.20999999985</v>
      </c>
      <c r="G76" s="56">
        <f t="shared" si="2"/>
        <v>3.8290902350881506E-3</v>
      </c>
    </row>
    <row r="77" spans="1:9" ht="26.25" x14ac:dyDescent="0.4">
      <c r="A77" s="1"/>
      <c r="B77" t="s">
        <v>93</v>
      </c>
      <c r="D77" t="s">
        <v>94</v>
      </c>
      <c r="E77" s="5">
        <v>498</v>
      </c>
      <c r="G77" s="4"/>
    </row>
    <row r="78" spans="1:9" ht="26.25" x14ac:dyDescent="0.4">
      <c r="A78" s="1"/>
      <c r="B78" s="14" t="s">
        <v>93</v>
      </c>
      <c r="C78" s="14" t="s">
        <v>95</v>
      </c>
      <c r="D78" s="14" t="s">
        <v>96</v>
      </c>
      <c r="E78" s="5">
        <v>216</v>
      </c>
      <c r="G78" s="4"/>
    </row>
    <row r="79" spans="1:9" ht="26.25" x14ac:dyDescent="0.4">
      <c r="A79" s="1"/>
      <c r="B79" s="14" t="s">
        <v>93</v>
      </c>
      <c r="C79" s="8" t="s">
        <v>97</v>
      </c>
      <c r="D79" s="8" t="s">
        <v>13</v>
      </c>
      <c r="E79" s="7">
        <v>417</v>
      </c>
      <c r="F79" s="57"/>
      <c r="G79" s="4"/>
    </row>
    <row r="80" spans="1:9" ht="26.25" x14ac:dyDescent="0.4">
      <c r="A80" s="1">
        <v>5</v>
      </c>
      <c r="B80" s="58" t="s">
        <v>93</v>
      </c>
      <c r="C80" s="58" t="s">
        <v>95</v>
      </c>
      <c r="D80" s="58" t="s">
        <v>98</v>
      </c>
      <c r="E80" s="59">
        <v>1131</v>
      </c>
      <c r="F80" s="60">
        <f>+E80*2</f>
        <v>2262</v>
      </c>
      <c r="G80" s="61">
        <f t="shared" ref="G80:G87" si="3">F80/E80-1</f>
        <v>1</v>
      </c>
    </row>
    <row r="81" spans="1:7" ht="26.25" x14ac:dyDescent="0.4">
      <c r="A81" s="1"/>
      <c r="B81" t="s">
        <v>99</v>
      </c>
      <c r="C81" t="s">
        <v>100</v>
      </c>
      <c r="D81" t="s">
        <v>101</v>
      </c>
      <c r="E81" s="5">
        <v>9515</v>
      </c>
      <c r="F81">
        <v>1000</v>
      </c>
      <c r="G81" s="24">
        <f t="shared" si="3"/>
        <v>-0.89490278507619547</v>
      </c>
    </row>
    <row r="82" spans="1:7" ht="26.25" x14ac:dyDescent="0.4">
      <c r="A82" s="1"/>
      <c r="B82" t="s">
        <v>99</v>
      </c>
      <c r="C82" t="s">
        <v>100</v>
      </c>
      <c r="D82" t="s">
        <v>102</v>
      </c>
      <c r="E82" s="5">
        <v>26638</v>
      </c>
      <c r="F82">
        <v>14789</v>
      </c>
      <c r="G82" s="24">
        <f t="shared" si="3"/>
        <v>-0.44481567685261658</v>
      </c>
    </row>
    <row r="83" spans="1:7" ht="26.25" x14ac:dyDescent="0.4">
      <c r="A83" s="1"/>
      <c r="B83" t="s">
        <v>99</v>
      </c>
      <c r="C83" t="s">
        <v>100</v>
      </c>
      <c r="D83" t="s">
        <v>103</v>
      </c>
      <c r="E83" s="5">
        <v>16895</v>
      </c>
      <c r="F83">
        <v>9563</v>
      </c>
      <c r="G83" s="24">
        <f t="shared" si="3"/>
        <v>-0.4339745486830423</v>
      </c>
    </row>
    <row r="84" spans="1:7" ht="26.25" x14ac:dyDescent="0.4">
      <c r="A84" s="1"/>
      <c r="B84" t="s">
        <v>99</v>
      </c>
      <c r="C84" t="s">
        <v>100</v>
      </c>
      <c r="D84" t="s">
        <v>104</v>
      </c>
      <c r="E84" s="5">
        <v>16903</v>
      </c>
      <c r="F84">
        <v>14875</v>
      </c>
      <c r="G84" s="24">
        <f t="shared" si="3"/>
        <v>-0.11997870200556116</v>
      </c>
    </row>
    <row r="85" spans="1:7" ht="26.25" x14ac:dyDescent="0.4">
      <c r="A85" s="1"/>
      <c r="B85" t="s">
        <v>99</v>
      </c>
      <c r="C85" t="s">
        <v>100</v>
      </c>
      <c r="D85" t="s">
        <v>105</v>
      </c>
      <c r="E85" s="5">
        <v>434</v>
      </c>
      <c r="F85">
        <v>219</v>
      </c>
      <c r="G85" s="24">
        <f t="shared" si="3"/>
        <v>-0.49539170506912444</v>
      </c>
    </row>
    <row r="86" spans="1:7" ht="26.25" x14ac:dyDescent="0.4">
      <c r="A86" s="1"/>
      <c r="B86" s="8" t="s">
        <v>99</v>
      </c>
      <c r="C86" s="8" t="s">
        <v>106</v>
      </c>
      <c r="D86" s="8" t="s">
        <v>13</v>
      </c>
      <c r="E86" s="7">
        <v>12</v>
      </c>
      <c r="F86" s="8">
        <v>10</v>
      </c>
      <c r="G86" s="34">
        <f t="shared" si="3"/>
        <v>-0.16666666666666663</v>
      </c>
    </row>
    <row r="87" spans="1:7" ht="26.25" x14ac:dyDescent="0.4">
      <c r="A87" s="1"/>
      <c r="B87" s="62" t="s">
        <v>99</v>
      </c>
      <c r="C87" s="62" t="s">
        <v>100</v>
      </c>
      <c r="D87" s="62" t="s">
        <v>107</v>
      </c>
      <c r="E87" s="63">
        <f>SUM(E81:E86)</f>
        <v>70397</v>
      </c>
      <c r="F87" s="63">
        <f>SUM(F81:F86)</f>
        <v>40456</v>
      </c>
      <c r="G87" s="64">
        <f t="shared" si="3"/>
        <v>-0.42531641973379553</v>
      </c>
    </row>
    <row r="88" spans="1:7" ht="26.25" x14ac:dyDescent="0.4">
      <c r="A88" s="1"/>
      <c r="B88" t="s">
        <v>99</v>
      </c>
      <c r="C88" t="s">
        <v>108</v>
      </c>
      <c r="D88" t="s">
        <v>109</v>
      </c>
      <c r="E88" s="5">
        <v>6</v>
      </c>
      <c r="G88" s="4"/>
    </row>
    <row r="89" spans="1:7" ht="26.25" x14ac:dyDescent="0.4">
      <c r="A89" s="1"/>
      <c r="B89" s="8" t="s">
        <v>99</v>
      </c>
      <c r="C89" s="8" t="s">
        <v>108</v>
      </c>
      <c r="D89" s="8" t="s">
        <v>110</v>
      </c>
      <c r="E89" s="7">
        <v>16</v>
      </c>
      <c r="F89" s="8"/>
      <c r="G89" s="36"/>
    </row>
    <row r="90" spans="1:7" ht="26.25" x14ac:dyDescent="0.4">
      <c r="A90" s="1"/>
      <c r="B90" s="8" t="s">
        <v>99</v>
      </c>
      <c r="C90" s="8" t="s">
        <v>111</v>
      </c>
      <c r="D90" s="8" t="s">
        <v>13</v>
      </c>
      <c r="E90" s="7">
        <v>144</v>
      </c>
      <c r="F90" s="8"/>
      <c r="G90" s="36"/>
    </row>
    <row r="91" spans="1:7" ht="26.25" x14ac:dyDescent="0.4">
      <c r="A91" s="1"/>
      <c r="B91" s="65" t="s">
        <v>99</v>
      </c>
      <c r="C91" s="62" t="s">
        <v>108</v>
      </c>
      <c r="D91" s="62" t="s">
        <v>112</v>
      </c>
      <c r="E91" s="66">
        <v>166</v>
      </c>
      <c r="F91" s="67">
        <v>200</v>
      </c>
      <c r="G91" s="68">
        <f t="shared" ref="G91:G115" si="4">F91/E91-1</f>
        <v>0.20481927710843384</v>
      </c>
    </row>
    <row r="92" spans="1:7" ht="26.25" x14ac:dyDescent="0.4">
      <c r="A92" s="1"/>
      <c r="B92" s="62" t="s">
        <v>99</v>
      </c>
      <c r="C92" s="62" t="s">
        <v>113</v>
      </c>
      <c r="D92" s="62" t="s">
        <v>113</v>
      </c>
      <c r="E92" s="66">
        <v>1472</v>
      </c>
      <c r="F92" s="63">
        <f>E92*0.9</f>
        <v>1324.8</v>
      </c>
      <c r="G92" s="68">
        <f t="shared" si="4"/>
        <v>-9.9999999999999978E-2</v>
      </c>
    </row>
    <row r="93" spans="1:7" ht="26.25" x14ac:dyDescent="0.4">
      <c r="A93" s="1"/>
      <c r="B93" t="s">
        <v>99</v>
      </c>
      <c r="C93" t="s">
        <v>114</v>
      </c>
      <c r="D93" s="69">
        <v>500</v>
      </c>
      <c r="E93" s="5">
        <v>188332</v>
      </c>
      <c r="F93" s="6">
        <f>E93*0.9</f>
        <v>169498.80000000002</v>
      </c>
      <c r="G93" s="24">
        <f t="shared" si="4"/>
        <v>-9.9999999999999867E-2</v>
      </c>
    </row>
    <row r="94" spans="1:7" ht="26.25" x14ac:dyDescent="0.4">
      <c r="A94" s="1"/>
      <c r="B94" t="s">
        <v>99</v>
      </c>
      <c r="C94" t="s">
        <v>114</v>
      </c>
      <c r="D94" t="s">
        <v>115</v>
      </c>
      <c r="E94" s="5">
        <v>167426</v>
      </c>
      <c r="F94" s="6">
        <v>184258</v>
      </c>
      <c r="G94" s="24">
        <f t="shared" si="4"/>
        <v>0.10053396724523078</v>
      </c>
    </row>
    <row r="95" spans="1:7" ht="26.25" x14ac:dyDescent="0.4">
      <c r="A95" s="1"/>
      <c r="B95" t="s">
        <v>99</v>
      </c>
      <c r="C95" t="s">
        <v>114</v>
      </c>
      <c r="D95" t="s">
        <v>116</v>
      </c>
      <c r="E95" s="5">
        <v>30976</v>
      </c>
      <c r="F95" s="6">
        <v>600</v>
      </c>
      <c r="G95" s="24">
        <f t="shared" si="4"/>
        <v>-0.98063016528925617</v>
      </c>
    </row>
    <row r="96" spans="1:7" ht="26.25" x14ac:dyDescent="0.4">
      <c r="A96" s="1"/>
      <c r="B96" t="s">
        <v>99</v>
      </c>
      <c r="C96" t="s">
        <v>114</v>
      </c>
      <c r="D96" t="s">
        <v>117</v>
      </c>
      <c r="E96" s="5">
        <v>3</v>
      </c>
      <c r="F96" s="6">
        <v>1</v>
      </c>
      <c r="G96" s="24">
        <f t="shared" si="4"/>
        <v>-0.66666666666666674</v>
      </c>
    </row>
    <row r="97" spans="1:7" ht="26.25" x14ac:dyDescent="0.4">
      <c r="A97" s="1"/>
      <c r="B97" t="s">
        <v>99</v>
      </c>
      <c r="C97" t="s">
        <v>114</v>
      </c>
      <c r="D97" t="s">
        <v>118</v>
      </c>
      <c r="E97" s="5">
        <v>100017</v>
      </c>
      <c r="F97" s="6">
        <v>75059</v>
      </c>
      <c r="G97" s="24">
        <f t="shared" si="4"/>
        <v>-0.24953757861163606</v>
      </c>
    </row>
    <row r="98" spans="1:7" ht="26.25" x14ac:dyDescent="0.4">
      <c r="A98" s="1"/>
      <c r="B98" t="s">
        <v>99</v>
      </c>
      <c r="C98" t="s">
        <v>114</v>
      </c>
      <c r="D98" t="s">
        <v>119</v>
      </c>
      <c r="E98" s="5">
        <v>95314</v>
      </c>
      <c r="F98" s="6">
        <v>84986</v>
      </c>
      <c r="G98" s="24">
        <f t="shared" si="4"/>
        <v>-0.10835763896174744</v>
      </c>
    </row>
    <row r="99" spans="1:7" ht="26.25" x14ac:dyDescent="0.4">
      <c r="A99" s="1"/>
      <c r="B99" t="s">
        <v>99</v>
      </c>
      <c r="C99" t="s">
        <v>114</v>
      </c>
      <c r="D99" t="s">
        <v>120</v>
      </c>
      <c r="E99" s="5">
        <v>7637</v>
      </c>
      <c r="F99" s="6">
        <v>5012</v>
      </c>
      <c r="G99" s="24">
        <f t="shared" si="4"/>
        <v>-0.34372135655362057</v>
      </c>
    </row>
    <row r="100" spans="1:7" ht="26.25" x14ac:dyDescent="0.4">
      <c r="A100" s="1"/>
      <c r="B100" t="s">
        <v>99</v>
      </c>
      <c r="C100" t="s">
        <v>114</v>
      </c>
      <c r="D100" t="s">
        <v>121</v>
      </c>
      <c r="E100" s="5">
        <v>1</v>
      </c>
      <c r="F100" s="6"/>
      <c r="G100" s="24">
        <f t="shared" si="4"/>
        <v>-1</v>
      </c>
    </row>
    <row r="101" spans="1:7" ht="26.25" x14ac:dyDescent="0.4">
      <c r="A101" s="1"/>
      <c r="B101" t="s">
        <v>99</v>
      </c>
      <c r="C101" t="s">
        <v>114</v>
      </c>
      <c r="D101" t="s">
        <v>122</v>
      </c>
      <c r="E101" s="5">
        <v>49788</v>
      </c>
      <c r="F101" s="6">
        <v>36586</v>
      </c>
      <c r="G101" s="24">
        <f t="shared" si="4"/>
        <v>-0.26516429661765883</v>
      </c>
    </row>
    <row r="102" spans="1:7" ht="26.25" x14ac:dyDescent="0.4">
      <c r="A102" s="1"/>
      <c r="B102" t="s">
        <v>99</v>
      </c>
      <c r="C102" t="s">
        <v>114</v>
      </c>
      <c r="D102" t="s">
        <v>123</v>
      </c>
      <c r="E102" s="5">
        <v>3</v>
      </c>
      <c r="F102" s="6">
        <v>2</v>
      </c>
      <c r="G102" s="24">
        <f t="shared" si="4"/>
        <v>-0.33333333333333337</v>
      </c>
    </row>
    <row r="103" spans="1:7" ht="26.25" x14ac:dyDescent="0.4">
      <c r="A103" s="1"/>
      <c r="B103" t="s">
        <v>99</v>
      </c>
      <c r="C103" t="s">
        <v>114</v>
      </c>
      <c r="D103" t="s">
        <v>124</v>
      </c>
      <c r="E103" s="5">
        <v>9176</v>
      </c>
      <c r="F103" s="6">
        <f>E103*0.93</f>
        <v>8533.68</v>
      </c>
      <c r="G103" s="24">
        <f t="shared" si="4"/>
        <v>-6.9999999999999951E-2</v>
      </c>
    </row>
    <row r="104" spans="1:7" ht="26.25" x14ac:dyDescent="0.4">
      <c r="A104" s="1"/>
      <c r="B104" t="s">
        <v>99</v>
      </c>
      <c r="C104" t="s">
        <v>114</v>
      </c>
      <c r="D104" t="s">
        <v>125</v>
      </c>
      <c r="E104" s="5">
        <v>6774</v>
      </c>
      <c r="F104" s="6">
        <f>E104*0.6</f>
        <v>4064.3999999999996</v>
      </c>
      <c r="G104" s="24">
        <f t="shared" si="4"/>
        <v>-0.4</v>
      </c>
    </row>
    <row r="105" spans="1:7" ht="26.25" x14ac:dyDescent="0.4">
      <c r="A105" s="1"/>
      <c r="B105" t="s">
        <v>99</v>
      </c>
      <c r="C105" t="s">
        <v>114</v>
      </c>
      <c r="D105" t="s">
        <v>126</v>
      </c>
      <c r="E105" s="5">
        <v>5007</v>
      </c>
      <c r="F105" s="6">
        <f>0.86*E105</f>
        <v>4306.0199999999995</v>
      </c>
      <c r="G105" s="24">
        <f t="shared" si="4"/>
        <v>-0.14000000000000012</v>
      </c>
    </row>
    <row r="106" spans="1:7" ht="26.25" x14ac:dyDescent="0.4">
      <c r="A106" s="1"/>
      <c r="B106" s="14" t="s">
        <v>99</v>
      </c>
      <c r="C106" s="14" t="s">
        <v>114</v>
      </c>
      <c r="D106" s="14" t="s">
        <v>127</v>
      </c>
      <c r="E106" s="5">
        <v>36740</v>
      </c>
      <c r="F106" s="48">
        <f>E106*0.9</f>
        <v>33066</v>
      </c>
      <c r="G106" s="24">
        <f t="shared" si="4"/>
        <v>-9.9999999999999978E-2</v>
      </c>
    </row>
    <row r="107" spans="1:7" ht="26.25" x14ac:dyDescent="0.4">
      <c r="A107" s="1"/>
      <c r="B107" s="8" t="s">
        <v>99</v>
      </c>
      <c r="C107" s="8" t="s">
        <v>128</v>
      </c>
      <c r="D107" s="8" t="s">
        <v>13</v>
      </c>
      <c r="E107" s="7">
        <v>338</v>
      </c>
      <c r="F107" s="9">
        <v>450</v>
      </c>
      <c r="G107" s="24">
        <f t="shared" si="4"/>
        <v>0.33136094674556205</v>
      </c>
    </row>
    <row r="108" spans="1:7" ht="26.25" x14ac:dyDescent="0.4">
      <c r="A108" s="1"/>
      <c r="B108" s="62" t="s">
        <v>99</v>
      </c>
      <c r="C108" s="62" t="s">
        <v>114</v>
      </c>
      <c r="D108" s="62" t="s">
        <v>129</v>
      </c>
      <c r="E108" s="63">
        <f>SUM(E93:E107)</f>
        <v>697532</v>
      </c>
      <c r="F108" s="63">
        <f>SUM(F93:F107)</f>
        <v>606422.90000000014</v>
      </c>
      <c r="G108" s="64">
        <f t="shared" si="4"/>
        <v>-0.13061637315564001</v>
      </c>
    </row>
    <row r="109" spans="1:7" ht="26.25" x14ac:dyDescent="0.4">
      <c r="A109" s="1"/>
      <c r="B109" t="s">
        <v>99</v>
      </c>
      <c r="C109" t="s">
        <v>130</v>
      </c>
      <c r="D109" t="s">
        <v>131</v>
      </c>
      <c r="E109" s="5">
        <v>73275</v>
      </c>
      <c r="F109" s="70">
        <f>E109*1.03</f>
        <v>75473.25</v>
      </c>
      <c r="G109" s="24">
        <f t="shared" si="4"/>
        <v>3.0000000000000027E-2</v>
      </c>
    </row>
    <row r="110" spans="1:7" ht="26.25" x14ac:dyDescent="0.4">
      <c r="A110" s="1"/>
      <c r="B110" t="s">
        <v>99</v>
      </c>
      <c r="C110" t="s">
        <v>130</v>
      </c>
      <c r="D110" t="s">
        <v>132</v>
      </c>
      <c r="E110" s="5">
        <v>74740</v>
      </c>
      <c r="F110" s="70">
        <f>E110*0.9</f>
        <v>67266</v>
      </c>
      <c r="G110" s="24">
        <f t="shared" si="4"/>
        <v>-9.9999999999999978E-2</v>
      </c>
    </row>
    <row r="111" spans="1:7" ht="26.25" x14ac:dyDescent="0.4">
      <c r="A111" s="1"/>
      <c r="B111" t="s">
        <v>99</v>
      </c>
      <c r="C111" t="s">
        <v>130</v>
      </c>
      <c r="D111" t="s">
        <v>133</v>
      </c>
      <c r="E111" s="5">
        <v>7039</v>
      </c>
      <c r="F111" s="70">
        <v>10256</v>
      </c>
      <c r="G111" s="24">
        <f t="shared" si="4"/>
        <v>0.45702514561727514</v>
      </c>
    </row>
    <row r="112" spans="1:7" ht="26.25" x14ac:dyDescent="0.4">
      <c r="A112" s="1"/>
      <c r="B112" t="s">
        <v>99</v>
      </c>
      <c r="C112" t="s">
        <v>130</v>
      </c>
      <c r="D112" t="s">
        <v>134</v>
      </c>
      <c r="E112" s="5">
        <v>3724</v>
      </c>
      <c r="F112" s="70">
        <v>3684</v>
      </c>
      <c r="G112" s="24">
        <f t="shared" si="4"/>
        <v>-1.074113856068748E-2</v>
      </c>
    </row>
    <row r="113" spans="1:8" ht="26.25" x14ac:dyDescent="0.4">
      <c r="A113" s="1"/>
      <c r="B113" t="s">
        <v>99</v>
      </c>
      <c r="C113" t="s">
        <v>130</v>
      </c>
      <c r="D113" t="s">
        <v>135</v>
      </c>
      <c r="E113" s="5">
        <v>7781</v>
      </c>
      <c r="F113" s="70">
        <f>E113*0.82</f>
        <v>6380.42</v>
      </c>
      <c r="G113" s="24">
        <f t="shared" si="4"/>
        <v>-0.17999999999999994</v>
      </c>
    </row>
    <row r="114" spans="1:8" ht="26.25" x14ac:dyDescent="0.4">
      <c r="A114" s="1"/>
      <c r="B114" s="8" t="s">
        <v>99</v>
      </c>
      <c r="C114" s="8" t="s">
        <v>136</v>
      </c>
      <c r="D114" s="8" t="s">
        <v>13</v>
      </c>
      <c r="E114" s="7">
        <v>27</v>
      </c>
      <c r="F114" s="71">
        <v>48</v>
      </c>
      <c r="G114" s="24">
        <f t="shared" si="4"/>
        <v>0.77777777777777768</v>
      </c>
    </row>
    <row r="115" spans="1:8" ht="26.25" x14ac:dyDescent="0.4">
      <c r="A115" s="1"/>
      <c r="B115" s="62" t="s">
        <v>99</v>
      </c>
      <c r="C115" s="62" t="s">
        <v>130</v>
      </c>
      <c r="D115" s="62" t="s">
        <v>137</v>
      </c>
      <c r="E115" s="72">
        <f>SUM(E109:E114)</f>
        <v>166586</v>
      </c>
      <c r="F115" s="72">
        <f>SUM(F109:F114)</f>
        <v>163107.67000000001</v>
      </c>
      <c r="G115" s="68">
        <f t="shared" si="4"/>
        <v>-2.0880085961605288E-2</v>
      </c>
    </row>
    <row r="116" spans="1:8" ht="26.25" x14ac:dyDescent="0.4">
      <c r="A116" s="1"/>
      <c r="B116" t="s">
        <v>99</v>
      </c>
      <c r="C116" t="s">
        <v>138</v>
      </c>
      <c r="D116" t="s">
        <v>139</v>
      </c>
      <c r="E116" s="5">
        <v>48565</v>
      </c>
      <c r="F116" s="71">
        <v>55896</v>
      </c>
      <c r="G116" s="4"/>
    </row>
    <row r="117" spans="1:8" ht="26.25" x14ac:dyDescent="0.4">
      <c r="A117" s="1"/>
      <c r="B117" t="s">
        <v>99</v>
      </c>
      <c r="C117" t="s">
        <v>138</v>
      </c>
      <c r="D117" t="s">
        <v>140</v>
      </c>
      <c r="E117" s="5">
        <v>2</v>
      </c>
      <c r="G117" s="4"/>
    </row>
    <row r="118" spans="1:8" ht="26.25" x14ac:dyDescent="0.4">
      <c r="A118" s="1"/>
      <c r="B118" t="s">
        <v>99</v>
      </c>
      <c r="C118" t="s">
        <v>138</v>
      </c>
      <c r="D118" t="s">
        <v>141</v>
      </c>
      <c r="E118" s="5">
        <v>2</v>
      </c>
      <c r="G118" s="4"/>
    </row>
    <row r="119" spans="1:8" ht="26.25" x14ac:dyDescent="0.4">
      <c r="A119" s="1"/>
      <c r="B119" s="8" t="s">
        <v>99</v>
      </c>
      <c r="C119" s="8" t="s">
        <v>138</v>
      </c>
      <c r="D119" s="8" t="s">
        <v>142</v>
      </c>
      <c r="E119" s="7">
        <v>0</v>
      </c>
      <c r="F119" s="8"/>
      <c r="G119" s="36"/>
    </row>
    <row r="120" spans="1:8" ht="26.25" x14ac:dyDescent="0.4">
      <c r="A120" s="1"/>
      <c r="B120" s="8" t="s">
        <v>99</v>
      </c>
      <c r="C120" s="8" t="s">
        <v>143</v>
      </c>
      <c r="D120" s="8" t="s">
        <v>13</v>
      </c>
      <c r="E120" s="7">
        <v>3</v>
      </c>
      <c r="F120" s="8"/>
      <c r="G120" s="36"/>
    </row>
    <row r="121" spans="1:8" ht="26.25" x14ac:dyDescent="0.4">
      <c r="A121" s="1"/>
      <c r="B121" s="62" t="s">
        <v>99</v>
      </c>
      <c r="C121" s="62" t="s">
        <v>138</v>
      </c>
      <c r="D121" s="62" t="s">
        <v>144</v>
      </c>
      <c r="E121" s="73">
        <f>SUM(E116:E120)</f>
        <v>48572</v>
      </c>
      <c r="F121" s="73">
        <f>SUM(F116:F120)</f>
        <v>55896</v>
      </c>
      <c r="G121" s="64">
        <f t="shared" ref="G121" si="5">F121/E121-1</f>
        <v>0.15078646133574902</v>
      </c>
    </row>
    <row r="122" spans="1:8" ht="26.25" x14ac:dyDescent="0.4">
      <c r="A122" s="1"/>
      <c r="B122" t="s">
        <v>99</v>
      </c>
      <c r="C122" t="s">
        <v>145</v>
      </c>
      <c r="D122" t="s">
        <v>146</v>
      </c>
      <c r="E122" s="5">
        <v>334</v>
      </c>
      <c r="G122" s="4"/>
    </row>
    <row r="123" spans="1:8" ht="26.25" x14ac:dyDescent="0.4">
      <c r="A123" s="1"/>
      <c r="B123" t="s">
        <v>99</v>
      </c>
      <c r="C123" t="s">
        <v>145</v>
      </c>
      <c r="D123" t="s">
        <v>147</v>
      </c>
      <c r="E123" s="5">
        <v>235</v>
      </c>
      <c r="G123" s="4"/>
    </row>
    <row r="124" spans="1:8" ht="26.25" x14ac:dyDescent="0.4">
      <c r="A124" s="1"/>
      <c r="B124" t="s">
        <v>99</v>
      </c>
      <c r="C124" t="s">
        <v>145</v>
      </c>
      <c r="D124" t="s">
        <v>148</v>
      </c>
      <c r="E124" s="5">
        <v>2531</v>
      </c>
      <c r="G124" s="4"/>
    </row>
    <row r="125" spans="1:8" ht="26.25" x14ac:dyDescent="0.4">
      <c r="A125" s="1"/>
      <c r="B125" s="8" t="s">
        <v>99</v>
      </c>
      <c r="C125" s="8" t="s">
        <v>145</v>
      </c>
      <c r="D125" s="8" t="s">
        <v>149</v>
      </c>
      <c r="E125" s="7">
        <v>447</v>
      </c>
      <c r="F125" s="8"/>
      <c r="G125" s="36"/>
      <c r="H125" s="8"/>
    </row>
    <row r="126" spans="1:8" ht="26.25" x14ac:dyDescent="0.4">
      <c r="A126" s="1"/>
      <c r="B126" s="8" t="s">
        <v>99</v>
      </c>
      <c r="C126" s="8" t="s">
        <v>145</v>
      </c>
      <c r="D126" s="8" t="s">
        <v>150</v>
      </c>
      <c r="E126" s="7">
        <v>4441</v>
      </c>
      <c r="F126" s="8"/>
      <c r="G126" s="36"/>
      <c r="H126" s="8"/>
    </row>
    <row r="127" spans="1:8" ht="26.25" x14ac:dyDescent="0.4">
      <c r="A127" s="1"/>
      <c r="B127" s="8" t="s">
        <v>99</v>
      </c>
      <c r="C127" s="8" t="s">
        <v>151</v>
      </c>
      <c r="D127" s="8" t="s">
        <v>13</v>
      </c>
      <c r="E127" s="7">
        <v>20</v>
      </c>
      <c r="F127" s="8"/>
      <c r="G127" s="36"/>
      <c r="H127" s="8"/>
    </row>
    <row r="128" spans="1:8" ht="26.25" x14ac:dyDescent="0.4">
      <c r="A128" s="1"/>
      <c r="B128" s="62" t="s">
        <v>99</v>
      </c>
      <c r="C128" s="62" t="s">
        <v>145</v>
      </c>
      <c r="D128" s="62" t="s">
        <v>152</v>
      </c>
      <c r="E128" s="66">
        <f>SUM(E122:E127)</f>
        <v>8008</v>
      </c>
      <c r="F128" s="63">
        <f>E128*0.72</f>
        <v>5765.76</v>
      </c>
      <c r="G128" s="64">
        <f t="shared" ref="G128" si="6">F128/E128-1</f>
        <v>-0.28000000000000003</v>
      </c>
      <c r="H128" s="8"/>
    </row>
    <row r="129" spans="1:8" ht="26.25" x14ac:dyDescent="0.4">
      <c r="A129" s="1"/>
      <c r="B129" s="8" t="s">
        <v>99</v>
      </c>
      <c r="C129" s="8" t="s">
        <v>153</v>
      </c>
      <c r="D129" s="8" t="s">
        <v>13</v>
      </c>
      <c r="E129" s="7">
        <v>951</v>
      </c>
      <c r="F129" s="36">
        <v>985</v>
      </c>
      <c r="G129" s="36"/>
      <c r="H129" s="8"/>
    </row>
    <row r="130" spans="1:8" ht="26.25" x14ac:dyDescent="0.4">
      <c r="A130" s="1">
        <v>6</v>
      </c>
      <c r="B130" s="74" t="s">
        <v>99</v>
      </c>
      <c r="C130" s="74" t="s">
        <v>22</v>
      </c>
      <c r="D130" s="74" t="s">
        <v>154</v>
      </c>
      <c r="E130" s="75">
        <f>E129+E128+E121+E115+E108+E92+E91+E87</f>
        <v>993684</v>
      </c>
      <c r="F130" s="75">
        <f>F129+F128+F121+F115+F108+F92+F91+F87</f>
        <v>874158.13000000024</v>
      </c>
      <c r="G130" s="76">
        <f t="shared" ref="G130" si="7">F130/E130-1</f>
        <v>-0.12028559381050696</v>
      </c>
      <c r="H130" s="7"/>
    </row>
    <row r="131" spans="1:8" ht="26.25" x14ac:dyDescent="0.4">
      <c r="A131" s="1"/>
      <c r="B131" t="s">
        <v>155</v>
      </c>
      <c r="C131" t="s">
        <v>155</v>
      </c>
      <c r="D131" t="s">
        <v>156</v>
      </c>
      <c r="E131" s="5">
        <v>19</v>
      </c>
      <c r="F131" s="6"/>
      <c r="G131" s="4"/>
    </row>
    <row r="132" spans="1:8" ht="26.25" x14ac:dyDescent="0.4">
      <c r="A132" s="1"/>
      <c r="B132" t="s">
        <v>155</v>
      </c>
      <c r="C132" t="s">
        <v>155</v>
      </c>
      <c r="D132" s="69">
        <v>488</v>
      </c>
      <c r="E132" s="5">
        <v>1635</v>
      </c>
      <c r="F132" s="6">
        <f>E132*0.77</f>
        <v>1258.95</v>
      </c>
      <c r="G132" s="4"/>
    </row>
    <row r="133" spans="1:8" ht="26.25" x14ac:dyDescent="0.4">
      <c r="A133" s="1"/>
      <c r="B133" t="s">
        <v>155</v>
      </c>
      <c r="C133" t="s">
        <v>155</v>
      </c>
      <c r="D133" t="s">
        <v>157</v>
      </c>
      <c r="E133" s="5">
        <v>74</v>
      </c>
      <c r="F133" s="6">
        <v>5</v>
      </c>
      <c r="G133" s="4"/>
    </row>
    <row r="134" spans="1:8" ht="26.25" x14ac:dyDescent="0.4">
      <c r="A134" s="1"/>
      <c r="B134" t="s">
        <v>155</v>
      </c>
      <c r="C134" t="s">
        <v>155</v>
      </c>
      <c r="D134" t="s">
        <v>158</v>
      </c>
      <c r="E134" s="5">
        <v>551</v>
      </c>
      <c r="F134" s="6">
        <v>1124</v>
      </c>
      <c r="G134" s="4"/>
    </row>
    <row r="135" spans="1:8" ht="26.25" x14ac:dyDescent="0.4">
      <c r="A135" s="1"/>
      <c r="B135" t="s">
        <v>155</v>
      </c>
      <c r="C135" t="s">
        <v>155</v>
      </c>
      <c r="D135" t="s">
        <v>159</v>
      </c>
      <c r="E135" s="5">
        <v>508</v>
      </c>
      <c r="F135" s="6">
        <f>E135*0.6</f>
        <v>304.8</v>
      </c>
      <c r="G135" s="4"/>
    </row>
    <row r="136" spans="1:8" ht="26.25" x14ac:dyDescent="0.4">
      <c r="A136" s="1"/>
      <c r="B136" t="s">
        <v>155</v>
      </c>
      <c r="C136" t="s">
        <v>155</v>
      </c>
      <c r="D136" t="s">
        <v>160</v>
      </c>
      <c r="E136" s="5">
        <v>5</v>
      </c>
      <c r="F136" s="6">
        <v>0</v>
      </c>
      <c r="G136" s="4"/>
    </row>
    <row r="137" spans="1:8" ht="26.25" x14ac:dyDescent="0.4">
      <c r="A137" s="1"/>
      <c r="B137" t="s">
        <v>155</v>
      </c>
      <c r="C137" t="s">
        <v>155</v>
      </c>
      <c r="D137" t="s">
        <v>161</v>
      </c>
      <c r="E137" s="5">
        <v>42</v>
      </c>
      <c r="F137" s="6">
        <v>2</v>
      </c>
      <c r="G137" s="4"/>
    </row>
    <row r="138" spans="1:8" ht="26.25" x14ac:dyDescent="0.4">
      <c r="A138" s="1"/>
      <c r="B138" t="s">
        <v>155</v>
      </c>
      <c r="C138" t="s">
        <v>155</v>
      </c>
      <c r="D138" s="69">
        <v>812</v>
      </c>
      <c r="E138" s="5">
        <v>533</v>
      </c>
      <c r="F138" s="6">
        <f>E138*1.6</f>
        <v>852.80000000000007</v>
      </c>
      <c r="G138" s="4"/>
    </row>
    <row r="139" spans="1:8" ht="26.25" x14ac:dyDescent="0.4">
      <c r="A139" s="1"/>
      <c r="B139" s="8" t="s">
        <v>155</v>
      </c>
      <c r="C139" s="8" t="s">
        <v>162</v>
      </c>
      <c r="D139" s="8" t="s">
        <v>13</v>
      </c>
      <c r="E139" s="7">
        <v>82</v>
      </c>
      <c r="F139" s="9">
        <v>44</v>
      </c>
      <c r="G139" s="36"/>
    </row>
    <row r="140" spans="1:8" ht="26.25" x14ac:dyDescent="0.4">
      <c r="A140" s="1">
        <v>7</v>
      </c>
      <c r="B140" s="77" t="s">
        <v>155</v>
      </c>
      <c r="C140" s="77" t="s">
        <v>22</v>
      </c>
      <c r="D140" s="77" t="s">
        <v>155</v>
      </c>
      <c r="E140" s="78">
        <f>SUM(E131:E139)</f>
        <v>3449</v>
      </c>
      <c r="F140" s="78">
        <f>SUM(F131:F139)</f>
        <v>3591.55</v>
      </c>
      <c r="G140" s="79">
        <f>F140/E140-1</f>
        <v>4.1330820527689216E-2</v>
      </c>
    </row>
    <row r="141" spans="1:8" ht="26.25" x14ac:dyDescent="0.4">
      <c r="A141" s="1"/>
      <c r="B141" t="s">
        <v>163</v>
      </c>
      <c r="C141" t="s">
        <v>163</v>
      </c>
      <c r="D141" t="s">
        <v>164</v>
      </c>
      <c r="E141" s="5">
        <v>388</v>
      </c>
      <c r="F141" s="9">
        <v>0</v>
      </c>
      <c r="G141" s="4"/>
    </row>
    <row r="142" spans="1:8" ht="26.25" x14ac:dyDescent="0.4">
      <c r="A142" s="1"/>
      <c r="B142" t="s">
        <v>163</v>
      </c>
      <c r="C142" t="s">
        <v>163</v>
      </c>
      <c r="D142" t="s">
        <v>165</v>
      </c>
      <c r="E142" s="5">
        <v>49820</v>
      </c>
      <c r="F142" s="6">
        <f>E142*0.92</f>
        <v>45834.400000000001</v>
      </c>
      <c r="G142" s="24">
        <f t="shared" ref="G142:G157" si="8">F142/E142-1</f>
        <v>-7.999999999999996E-2</v>
      </c>
    </row>
    <row r="143" spans="1:8" ht="26.25" x14ac:dyDescent="0.4">
      <c r="A143" s="1"/>
      <c r="B143" t="s">
        <v>163</v>
      </c>
      <c r="C143" t="s">
        <v>163</v>
      </c>
      <c r="D143" t="s">
        <v>166</v>
      </c>
      <c r="E143" s="5">
        <v>269945</v>
      </c>
      <c r="F143" s="6">
        <f>E143*0.81</f>
        <v>218655.45</v>
      </c>
      <c r="G143" s="24">
        <f t="shared" si="8"/>
        <v>-0.18999999999999995</v>
      </c>
    </row>
    <row r="144" spans="1:8" ht="26.25" x14ac:dyDescent="0.4">
      <c r="A144" s="1"/>
      <c r="B144" t="s">
        <v>163</v>
      </c>
      <c r="C144" t="s">
        <v>163</v>
      </c>
      <c r="D144" t="s">
        <v>167</v>
      </c>
      <c r="E144" s="5">
        <v>194097</v>
      </c>
      <c r="F144" s="6">
        <v>201857</v>
      </c>
      <c r="G144" s="24">
        <f t="shared" si="8"/>
        <v>3.9980009995002508E-2</v>
      </c>
    </row>
    <row r="145" spans="1:10" ht="26.25" x14ac:dyDescent="0.4">
      <c r="A145" s="1"/>
      <c r="B145" t="s">
        <v>163</v>
      </c>
      <c r="C145" t="s">
        <v>163</v>
      </c>
      <c r="D145" t="s">
        <v>168</v>
      </c>
      <c r="E145" s="5">
        <v>49605</v>
      </c>
      <c r="F145" s="6">
        <f>E145*0.8</f>
        <v>39684</v>
      </c>
      <c r="G145" s="24">
        <f t="shared" si="8"/>
        <v>-0.19999999999999996</v>
      </c>
    </row>
    <row r="146" spans="1:10" ht="26.25" x14ac:dyDescent="0.4">
      <c r="A146" s="1"/>
      <c r="B146" t="s">
        <v>163</v>
      </c>
      <c r="C146" t="s">
        <v>163</v>
      </c>
      <c r="D146" t="s">
        <v>169</v>
      </c>
      <c r="E146" s="5">
        <v>3452</v>
      </c>
      <c r="F146" s="6">
        <v>3</v>
      </c>
      <c r="G146" s="24">
        <f t="shared" si="8"/>
        <v>-0.99913093858632673</v>
      </c>
    </row>
    <row r="147" spans="1:10" ht="26.25" x14ac:dyDescent="0.4">
      <c r="A147" s="1"/>
      <c r="B147" t="s">
        <v>163</v>
      </c>
      <c r="C147" t="s">
        <v>163</v>
      </c>
      <c r="D147" t="s">
        <v>170</v>
      </c>
      <c r="E147" s="5">
        <v>53080</v>
      </c>
      <c r="F147" s="6">
        <f>E147*0.65</f>
        <v>34502</v>
      </c>
      <c r="G147" s="24">
        <f t="shared" si="8"/>
        <v>-0.35</v>
      </c>
    </row>
    <row r="148" spans="1:10" ht="26.25" x14ac:dyDescent="0.4">
      <c r="A148" s="1"/>
      <c r="B148" t="s">
        <v>163</v>
      </c>
      <c r="C148" t="s">
        <v>163</v>
      </c>
      <c r="D148" t="s">
        <v>171</v>
      </c>
      <c r="E148" s="5">
        <v>23737</v>
      </c>
      <c r="F148" s="6">
        <f>E148*0.99</f>
        <v>23499.63</v>
      </c>
      <c r="G148" s="24">
        <f t="shared" si="8"/>
        <v>-1.0000000000000009E-2</v>
      </c>
    </row>
    <row r="149" spans="1:10" ht="26.25" x14ac:dyDescent="0.4">
      <c r="A149" s="1"/>
      <c r="B149" t="s">
        <v>163</v>
      </c>
      <c r="C149" t="s">
        <v>163</v>
      </c>
      <c r="D149" t="s">
        <v>172</v>
      </c>
      <c r="E149" s="5">
        <v>11688</v>
      </c>
      <c r="F149" s="6">
        <f>E149*1.22</f>
        <v>14259.36</v>
      </c>
      <c r="G149" s="24">
        <f t="shared" si="8"/>
        <v>0.21999999999999997</v>
      </c>
    </row>
    <row r="150" spans="1:10" ht="26.25" x14ac:dyDescent="0.4">
      <c r="A150" s="1"/>
      <c r="B150" t="s">
        <v>163</v>
      </c>
      <c r="C150" t="s">
        <v>163</v>
      </c>
      <c r="D150" t="s">
        <v>173</v>
      </c>
      <c r="E150" s="5">
        <v>111856</v>
      </c>
      <c r="F150" s="6">
        <v>115248</v>
      </c>
      <c r="G150" s="24">
        <f t="shared" si="8"/>
        <v>3.0324703189815505E-2</v>
      </c>
    </row>
    <row r="151" spans="1:10" ht="26.25" x14ac:dyDescent="0.4">
      <c r="A151" s="1"/>
      <c r="B151" t="s">
        <v>163</v>
      </c>
      <c r="C151" t="s">
        <v>163</v>
      </c>
      <c r="D151" t="s">
        <v>174</v>
      </c>
      <c r="E151" s="5">
        <v>153542</v>
      </c>
      <c r="F151" s="6">
        <f>E151*0.86</f>
        <v>132046.12</v>
      </c>
      <c r="G151" s="24">
        <f t="shared" si="8"/>
        <v>-0.14000000000000001</v>
      </c>
    </row>
    <row r="152" spans="1:10" ht="26.25" x14ac:dyDescent="0.4">
      <c r="A152" s="1"/>
      <c r="B152" t="s">
        <v>163</v>
      </c>
      <c r="C152" t="s">
        <v>163</v>
      </c>
      <c r="D152" t="s">
        <v>175</v>
      </c>
      <c r="E152" s="5">
        <v>9527</v>
      </c>
      <c r="F152" s="6">
        <f>E152*0.75</f>
        <v>7145.25</v>
      </c>
      <c r="G152" s="24">
        <f t="shared" si="8"/>
        <v>-0.25</v>
      </c>
    </row>
    <row r="153" spans="1:10" ht="26.25" x14ac:dyDescent="0.4">
      <c r="A153" s="1"/>
      <c r="B153" t="s">
        <v>163</v>
      </c>
      <c r="C153" t="s">
        <v>163</v>
      </c>
      <c r="D153" t="s">
        <v>176</v>
      </c>
      <c r="E153" s="5">
        <v>8842</v>
      </c>
      <c r="F153" s="6">
        <f>E153*1.15</f>
        <v>10168.299999999999</v>
      </c>
      <c r="G153" s="24">
        <f t="shared" si="8"/>
        <v>0.14999999999999991</v>
      </c>
    </row>
    <row r="154" spans="1:10" ht="26.25" x14ac:dyDescent="0.4">
      <c r="A154" s="1"/>
      <c r="B154" t="s">
        <v>163</v>
      </c>
      <c r="C154" t="s">
        <v>163</v>
      </c>
      <c r="D154" t="s">
        <v>177</v>
      </c>
      <c r="E154" s="5">
        <v>9618</v>
      </c>
      <c r="F154" s="6">
        <f>E154*1.09</f>
        <v>10483.620000000001</v>
      </c>
      <c r="G154" s="24">
        <f t="shared" si="8"/>
        <v>9.000000000000008E-2</v>
      </c>
    </row>
    <row r="155" spans="1:10" ht="26.25" x14ac:dyDescent="0.4">
      <c r="A155" s="1"/>
      <c r="B155" s="8" t="s">
        <v>163</v>
      </c>
      <c r="C155" s="8" t="s">
        <v>163</v>
      </c>
      <c r="D155" s="8" t="s">
        <v>13</v>
      </c>
      <c r="E155" s="7">
        <v>58643</v>
      </c>
      <c r="F155" s="9">
        <f>E155</f>
        <v>58643</v>
      </c>
      <c r="G155" s="24">
        <f t="shared" si="8"/>
        <v>0</v>
      </c>
    </row>
    <row r="156" spans="1:10" ht="26.25" x14ac:dyDescent="0.4">
      <c r="A156" s="1">
        <v>8</v>
      </c>
      <c r="B156" s="80" t="s">
        <v>163</v>
      </c>
      <c r="C156" s="80" t="s">
        <v>163</v>
      </c>
      <c r="D156" s="80" t="s">
        <v>178</v>
      </c>
      <c r="E156" s="81">
        <f>SUM(E141:E155)</f>
        <v>1007840</v>
      </c>
      <c r="F156" s="81">
        <f>SUM(F141:F155)</f>
        <v>912029.13000000012</v>
      </c>
      <c r="G156" s="82">
        <f t="shared" si="8"/>
        <v>-9.5065556040641264E-2</v>
      </c>
    </row>
    <row r="157" spans="1:10" ht="26.25" x14ac:dyDescent="0.4">
      <c r="A157" s="1"/>
      <c r="B157" s="83" t="s">
        <v>179</v>
      </c>
      <c r="C157" s="83" t="s">
        <v>179</v>
      </c>
      <c r="D157" s="83" t="s">
        <v>180</v>
      </c>
      <c r="E157" s="84">
        <v>151</v>
      </c>
      <c r="F157" s="85">
        <v>100</v>
      </c>
      <c r="G157" s="86">
        <f t="shared" si="8"/>
        <v>-0.33774834437086088</v>
      </c>
    </row>
    <row r="158" spans="1:10" ht="26.25" x14ac:dyDescent="0.4">
      <c r="A158" s="1"/>
      <c r="B158" t="s">
        <v>179</v>
      </c>
      <c r="C158" t="s">
        <v>181</v>
      </c>
      <c r="D158" t="s">
        <v>182</v>
      </c>
      <c r="E158" s="5">
        <v>269</v>
      </c>
      <c r="F158" s="87"/>
      <c r="G158" s="4"/>
    </row>
    <row r="159" spans="1:10" ht="26.25" x14ac:dyDescent="0.4">
      <c r="A159" s="1"/>
      <c r="B159" t="s">
        <v>179</v>
      </c>
      <c r="C159" t="s">
        <v>181</v>
      </c>
      <c r="D159" t="s">
        <v>183</v>
      </c>
      <c r="E159" s="5">
        <v>316</v>
      </c>
      <c r="F159" s="87"/>
      <c r="G159" s="4"/>
    </row>
    <row r="160" spans="1:10" ht="26.25" x14ac:dyDescent="0.4">
      <c r="A160" s="88"/>
      <c r="B160" s="8" t="s">
        <v>179</v>
      </c>
      <c r="C160" s="8" t="s">
        <v>184</v>
      </c>
      <c r="D160" s="8" t="s">
        <v>13</v>
      </c>
      <c r="E160" s="7">
        <v>16</v>
      </c>
      <c r="F160" s="89"/>
      <c r="G160" s="36"/>
      <c r="H160" s="8"/>
      <c r="I160" s="8"/>
      <c r="J160" s="8"/>
    </row>
    <row r="161" spans="1:10" ht="26.25" x14ac:dyDescent="0.4">
      <c r="A161" s="88"/>
      <c r="B161" s="83" t="s">
        <v>179</v>
      </c>
      <c r="C161" s="83" t="s">
        <v>181</v>
      </c>
      <c r="D161" s="83" t="s">
        <v>185</v>
      </c>
      <c r="E161" s="84">
        <v>601</v>
      </c>
      <c r="F161" s="85">
        <v>612</v>
      </c>
      <c r="G161" s="90">
        <f t="shared" ref="G161:G174" si="9">F161/E161-1</f>
        <v>1.830282861896837E-2</v>
      </c>
      <c r="H161" s="8"/>
      <c r="I161" s="8"/>
      <c r="J161" s="8"/>
    </row>
    <row r="162" spans="1:10" ht="26.25" x14ac:dyDescent="0.4">
      <c r="A162" s="1"/>
      <c r="B162" t="s">
        <v>179</v>
      </c>
      <c r="C162" t="s">
        <v>186</v>
      </c>
      <c r="D162" t="s">
        <v>187</v>
      </c>
      <c r="E162" s="5">
        <v>56677</v>
      </c>
      <c r="F162" s="87">
        <f>E162*0.83</f>
        <v>47041.909999999996</v>
      </c>
      <c r="G162" s="24">
        <f t="shared" si="9"/>
        <v>-0.17000000000000004</v>
      </c>
    </row>
    <row r="163" spans="1:10" ht="26.25" x14ac:dyDescent="0.4">
      <c r="A163" s="1"/>
      <c r="B163" t="s">
        <v>179</v>
      </c>
      <c r="C163" t="s">
        <v>186</v>
      </c>
      <c r="D163" t="s">
        <v>188</v>
      </c>
      <c r="E163" s="5">
        <v>5504</v>
      </c>
      <c r="F163" s="87">
        <v>2530</v>
      </c>
      <c r="G163" s="24">
        <f t="shared" si="9"/>
        <v>-0.54033430232558133</v>
      </c>
    </row>
    <row r="164" spans="1:10" ht="26.25" x14ac:dyDescent="0.4">
      <c r="A164" s="1"/>
      <c r="B164" t="s">
        <v>179</v>
      </c>
      <c r="C164" t="s">
        <v>186</v>
      </c>
      <c r="D164" t="s">
        <v>189</v>
      </c>
      <c r="E164" s="5">
        <v>42134</v>
      </c>
      <c r="F164" s="87">
        <v>52698</v>
      </c>
      <c r="G164" s="24">
        <f t="shared" si="9"/>
        <v>0.25072388095125087</v>
      </c>
    </row>
    <row r="165" spans="1:10" ht="26.25" x14ac:dyDescent="0.4">
      <c r="A165" s="1"/>
      <c r="B165" t="s">
        <v>179</v>
      </c>
      <c r="C165" t="s">
        <v>186</v>
      </c>
      <c r="D165" t="s">
        <v>190</v>
      </c>
      <c r="E165" s="5">
        <v>21</v>
      </c>
      <c r="F165" s="87">
        <v>40</v>
      </c>
      <c r="G165" s="24">
        <f t="shared" si="9"/>
        <v>0.90476190476190466</v>
      </c>
    </row>
    <row r="166" spans="1:10" ht="26.25" x14ac:dyDescent="0.4">
      <c r="A166" s="1"/>
      <c r="B166" t="s">
        <v>179</v>
      </c>
      <c r="C166" t="s">
        <v>186</v>
      </c>
      <c r="D166" t="s">
        <v>191</v>
      </c>
      <c r="E166" s="5">
        <v>0</v>
      </c>
      <c r="F166" s="87"/>
      <c r="G166" s="24"/>
    </row>
    <row r="167" spans="1:10" ht="26.25" x14ac:dyDescent="0.4">
      <c r="A167" s="1"/>
      <c r="B167" t="s">
        <v>179</v>
      </c>
      <c r="C167" t="s">
        <v>186</v>
      </c>
      <c r="D167" t="s">
        <v>192</v>
      </c>
      <c r="E167" s="5">
        <v>55970</v>
      </c>
      <c r="F167" s="87">
        <f>E167*0.62</f>
        <v>34701.4</v>
      </c>
      <c r="G167" s="24">
        <f t="shared" si="9"/>
        <v>-0.38</v>
      </c>
    </row>
    <row r="168" spans="1:10" ht="26.25" x14ac:dyDescent="0.4">
      <c r="A168" s="1"/>
      <c r="B168" t="s">
        <v>179</v>
      </c>
      <c r="C168" t="s">
        <v>186</v>
      </c>
      <c r="D168" t="s">
        <v>193</v>
      </c>
      <c r="E168" s="5">
        <v>47536</v>
      </c>
      <c r="F168" s="87">
        <f>E168*1.9</f>
        <v>90318.399999999994</v>
      </c>
      <c r="G168" s="24">
        <f t="shared" si="9"/>
        <v>0.89999999999999991</v>
      </c>
    </row>
    <row r="169" spans="1:10" ht="26.25" x14ac:dyDescent="0.4">
      <c r="A169" s="1"/>
      <c r="B169" t="s">
        <v>179</v>
      </c>
      <c r="C169" t="s">
        <v>186</v>
      </c>
      <c r="D169" t="s">
        <v>194</v>
      </c>
      <c r="E169" s="5">
        <v>80221</v>
      </c>
      <c r="F169" s="87">
        <v>73256</v>
      </c>
      <c r="G169" s="24">
        <f t="shared" si="9"/>
        <v>-8.6822652422682389E-2</v>
      </c>
    </row>
    <row r="170" spans="1:10" ht="26.25" x14ac:dyDescent="0.4">
      <c r="A170" s="1"/>
      <c r="B170" t="s">
        <v>179</v>
      </c>
      <c r="C170" t="s">
        <v>186</v>
      </c>
      <c r="D170" t="s">
        <v>195</v>
      </c>
      <c r="E170" s="5">
        <v>30549</v>
      </c>
      <c r="F170" s="87">
        <v>26896</v>
      </c>
      <c r="G170" s="24">
        <f t="shared" si="9"/>
        <v>-0.1195783822711054</v>
      </c>
    </row>
    <row r="171" spans="1:10" ht="26.25" x14ac:dyDescent="0.4">
      <c r="A171" s="88"/>
      <c r="B171" s="8" t="s">
        <v>179</v>
      </c>
      <c r="C171" s="8" t="s">
        <v>196</v>
      </c>
      <c r="D171" s="8" t="s">
        <v>13</v>
      </c>
      <c r="E171" s="7">
        <v>1163</v>
      </c>
      <c r="F171" s="89">
        <v>100</v>
      </c>
      <c r="G171" s="24">
        <f t="shared" si="9"/>
        <v>-0.91401547721410148</v>
      </c>
      <c r="H171" s="8"/>
      <c r="I171" s="8"/>
      <c r="J171" s="8"/>
    </row>
    <row r="172" spans="1:10" ht="26.25" x14ac:dyDescent="0.4">
      <c r="A172" s="91"/>
      <c r="B172" s="83" t="s">
        <v>179</v>
      </c>
      <c r="C172" s="83" t="s">
        <v>186</v>
      </c>
      <c r="D172" s="83" t="s">
        <v>197</v>
      </c>
      <c r="E172" s="84">
        <v>319775</v>
      </c>
      <c r="F172" s="85">
        <f>SUM(F162:F171)</f>
        <v>327581.70999999996</v>
      </c>
      <c r="G172" s="90">
        <f t="shared" si="9"/>
        <v>2.4413134235008904E-2</v>
      </c>
      <c r="H172" s="14"/>
      <c r="I172" s="14"/>
      <c r="J172" s="14"/>
    </row>
    <row r="173" spans="1:10" ht="26.25" x14ac:dyDescent="0.4">
      <c r="A173" s="1">
        <v>9</v>
      </c>
      <c r="B173" s="92" t="s">
        <v>179</v>
      </c>
      <c r="C173" s="92" t="s">
        <v>22</v>
      </c>
      <c r="D173" s="92" t="s">
        <v>198</v>
      </c>
      <c r="E173" s="93">
        <f>E172+E161+E157</f>
        <v>320527</v>
      </c>
      <c r="F173" s="93">
        <f>F172+F161+F157</f>
        <v>328293.70999999996</v>
      </c>
      <c r="G173" s="94">
        <f t="shared" si="9"/>
        <v>2.4231063217763138E-2</v>
      </c>
    </row>
    <row r="174" spans="1:10" ht="26.25" x14ac:dyDescent="0.4">
      <c r="A174" s="1">
        <v>10</v>
      </c>
      <c r="B174" s="95" t="s">
        <v>199</v>
      </c>
      <c r="C174" s="95" t="s">
        <v>200</v>
      </c>
      <c r="D174" s="95" t="s">
        <v>200</v>
      </c>
      <c r="E174" s="96">
        <v>1063</v>
      </c>
      <c r="F174" s="97">
        <v>750</v>
      </c>
      <c r="G174" s="98">
        <f t="shared" si="9"/>
        <v>-0.29444967074317963</v>
      </c>
    </row>
    <row r="175" spans="1:10" ht="26.25" x14ac:dyDescent="0.4">
      <c r="A175" s="1"/>
      <c r="B175" t="s">
        <v>199</v>
      </c>
      <c r="C175" t="s">
        <v>201</v>
      </c>
      <c r="D175" t="s">
        <v>202</v>
      </c>
      <c r="E175" s="5">
        <v>4</v>
      </c>
      <c r="G175" s="4"/>
    </row>
    <row r="176" spans="1:10" ht="26.25" x14ac:dyDescent="0.4">
      <c r="A176" s="1"/>
      <c r="B176" t="s">
        <v>199</v>
      </c>
      <c r="C176" t="s">
        <v>201</v>
      </c>
      <c r="D176" t="s">
        <v>203</v>
      </c>
      <c r="E176" s="5">
        <v>3</v>
      </c>
      <c r="G176" s="4"/>
    </row>
    <row r="177" spans="1:7" ht="26.25" x14ac:dyDescent="0.4">
      <c r="A177" s="1"/>
      <c r="B177" t="s">
        <v>199</v>
      </c>
      <c r="C177" t="s">
        <v>201</v>
      </c>
      <c r="D177" t="s">
        <v>204</v>
      </c>
      <c r="E177" s="5">
        <v>6</v>
      </c>
      <c r="G177" s="4"/>
    </row>
    <row r="178" spans="1:7" ht="26.25" x14ac:dyDescent="0.4">
      <c r="A178" s="1"/>
      <c r="B178" t="s">
        <v>199</v>
      </c>
      <c r="C178" t="s">
        <v>201</v>
      </c>
      <c r="D178" t="s">
        <v>205</v>
      </c>
      <c r="E178" s="5">
        <v>4</v>
      </c>
      <c r="G178" s="4"/>
    </row>
    <row r="179" spans="1:7" ht="26.25" x14ac:dyDescent="0.4">
      <c r="A179" s="1"/>
      <c r="B179" t="s">
        <v>199</v>
      </c>
      <c r="C179" t="s">
        <v>201</v>
      </c>
      <c r="D179" t="s">
        <v>206</v>
      </c>
      <c r="E179" s="5">
        <v>6</v>
      </c>
      <c r="G179" s="4"/>
    </row>
    <row r="180" spans="1:7" ht="26.25" x14ac:dyDescent="0.4">
      <c r="A180" s="1"/>
      <c r="B180" t="s">
        <v>199</v>
      </c>
      <c r="C180" t="s">
        <v>201</v>
      </c>
      <c r="D180" s="99" t="s">
        <v>207</v>
      </c>
      <c r="E180" s="5">
        <v>0</v>
      </c>
      <c r="G180" s="4"/>
    </row>
    <row r="181" spans="1:7" ht="26.25" x14ac:dyDescent="0.4">
      <c r="A181" s="1"/>
      <c r="B181" t="s">
        <v>199</v>
      </c>
      <c r="C181" t="s">
        <v>201</v>
      </c>
      <c r="D181" t="s">
        <v>208</v>
      </c>
      <c r="E181" s="5">
        <v>1</v>
      </c>
      <c r="G181" s="4"/>
    </row>
    <row r="182" spans="1:7" ht="26.25" x14ac:dyDescent="0.4">
      <c r="A182" s="1"/>
      <c r="B182" t="s">
        <v>199</v>
      </c>
      <c r="C182" t="s">
        <v>201</v>
      </c>
      <c r="D182" t="s">
        <v>209</v>
      </c>
      <c r="E182" s="5">
        <v>1729</v>
      </c>
      <c r="G182" s="4"/>
    </row>
    <row r="183" spans="1:7" ht="26.25" x14ac:dyDescent="0.4">
      <c r="A183" s="1"/>
      <c r="B183" s="8" t="s">
        <v>199</v>
      </c>
      <c r="C183" s="8" t="s">
        <v>210</v>
      </c>
      <c r="D183" s="8" t="s">
        <v>13</v>
      </c>
      <c r="E183" s="7">
        <v>662</v>
      </c>
      <c r="F183" s="8"/>
      <c r="G183" s="4"/>
    </row>
    <row r="184" spans="1:7" ht="26.25" x14ac:dyDescent="0.4">
      <c r="A184" s="1"/>
      <c r="B184" s="13" t="s">
        <v>199</v>
      </c>
      <c r="C184" s="14" t="s">
        <v>201</v>
      </c>
      <c r="D184" s="14" t="s">
        <v>211</v>
      </c>
      <c r="E184" s="5">
        <v>2415</v>
      </c>
      <c r="F184">
        <v>2875</v>
      </c>
      <c r="G184" s="24">
        <f t="shared" ref="G184" si="10">F184/E184-1</f>
        <v>0.19047619047619047</v>
      </c>
    </row>
    <row r="185" spans="1:7" ht="26.25" x14ac:dyDescent="0.4">
      <c r="A185" s="1"/>
      <c r="B185" s="8" t="s">
        <v>199</v>
      </c>
      <c r="C185" s="8" t="s">
        <v>212</v>
      </c>
      <c r="D185" s="8" t="s">
        <v>13</v>
      </c>
      <c r="E185" s="7">
        <v>45</v>
      </c>
      <c r="F185" s="8"/>
      <c r="G185" s="4"/>
    </row>
    <row r="186" spans="1:7" ht="26.25" x14ac:dyDescent="0.4">
      <c r="A186" s="1">
        <v>11</v>
      </c>
      <c r="B186" s="58" t="s">
        <v>199</v>
      </c>
      <c r="C186" s="58" t="s">
        <v>22</v>
      </c>
      <c r="D186" s="58" t="s">
        <v>199</v>
      </c>
      <c r="E186" s="100">
        <f>E174+E184</f>
        <v>3478</v>
      </c>
      <c r="F186" s="100">
        <f>F174+F184</f>
        <v>3625</v>
      </c>
      <c r="G186" s="61">
        <f t="shared" ref="G186" si="11">F186/E186-1</f>
        <v>4.2265669925244387E-2</v>
      </c>
    </row>
    <row r="187" spans="1:7" ht="26.25" x14ac:dyDescent="0.4">
      <c r="A187" s="1">
        <v>12</v>
      </c>
      <c r="B187" s="95" t="s">
        <v>213</v>
      </c>
      <c r="C187" s="95" t="s">
        <v>213</v>
      </c>
      <c r="D187" s="95" t="s">
        <v>214</v>
      </c>
      <c r="E187" s="96">
        <v>2</v>
      </c>
      <c r="F187" s="95"/>
      <c r="G187" s="101"/>
    </row>
    <row r="188" spans="1:7" ht="26.25" x14ac:dyDescent="0.4">
      <c r="A188" s="1"/>
      <c r="B188" t="s">
        <v>215</v>
      </c>
      <c r="C188" t="s">
        <v>216</v>
      </c>
      <c r="D188" t="s">
        <v>217</v>
      </c>
      <c r="E188" s="5">
        <v>38066</v>
      </c>
      <c r="F188" s="102">
        <v>30124</v>
      </c>
      <c r="G188" s="24">
        <f t="shared" ref="G188:G252" si="12">F188/E188-1</f>
        <v>-0.20863762938054953</v>
      </c>
    </row>
    <row r="189" spans="1:7" ht="26.25" x14ac:dyDescent="0.4">
      <c r="A189" s="1"/>
      <c r="B189" t="s">
        <v>215</v>
      </c>
      <c r="C189" t="s">
        <v>216</v>
      </c>
      <c r="D189" t="s">
        <v>218</v>
      </c>
      <c r="E189" s="5">
        <v>42308</v>
      </c>
      <c r="F189" s="102">
        <v>38123</v>
      </c>
      <c r="G189" s="24">
        <f t="shared" si="12"/>
        <v>-9.8917462418455115E-2</v>
      </c>
    </row>
    <row r="190" spans="1:7" ht="26.25" x14ac:dyDescent="0.4">
      <c r="A190" s="1"/>
      <c r="B190" t="s">
        <v>215</v>
      </c>
      <c r="C190" t="s">
        <v>216</v>
      </c>
      <c r="D190" t="s">
        <v>219</v>
      </c>
      <c r="E190" s="5">
        <v>20</v>
      </c>
      <c r="F190" s="102">
        <v>8</v>
      </c>
      <c r="G190" s="24">
        <f t="shared" si="12"/>
        <v>-0.6</v>
      </c>
    </row>
    <row r="191" spans="1:7" ht="26.25" x14ac:dyDescent="0.4">
      <c r="A191" s="1"/>
      <c r="B191" t="s">
        <v>215</v>
      </c>
      <c r="C191" t="s">
        <v>216</v>
      </c>
      <c r="D191" t="s">
        <v>220</v>
      </c>
      <c r="E191" s="5">
        <v>25650</v>
      </c>
      <c r="F191" s="102">
        <f>E191*0.74</f>
        <v>18981</v>
      </c>
      <c r="G191" s="24">
        <f t="shared" si="12"/>
        <v>-0.26</v>
      </c>
    </row>
    <row r="192" spans="1:7" ht="26.25" x14ac:dyDescent="0.4">
      <c r="A192" s="1"/>
      <c r="B192" t="s">
        <v>215</v>
      </c>
      <c r="C192" t="s">
        <v>216</v>
      </c>
      <c r="D192" t="s">
        <v>221</v>
      </c>
      <c r="E192" s="5">
        <v>27337</v>
      </c>
      <c r="F192" s="103">
        <f>E192</f>
        <v>27337</v>
      </c>
      <c r="G192" s="24">
        <f t="shared" si="12"/>
        <v>0</v>
      </c>
    </row>
    <row r="193" spans="1:7" ht="26.25" x14ac:dyDescent="0.4">
      <c r="A193" s="1"/>
      <c r="B193" s="8" t="s">
        <v>215</v>
      </c>
      <c r="C193" s="8" t="s">
        <v>216</v>
      </c>
      <c r="D193" s="8" t="s">
        <v>222</v>
      </c>
      <c r="E193" s="7">
        <v>45</v>
      </c>
      <c r="F193" s="104">
        <v>50</v>
      </c>
      <c r="G193" s="34">
        <f t="shared" si="12"/>
        <v>0.11111111111111116</v>
      </c>
    </row>
    <row r="194" spans="1:7" ht="26.25" x14ac:dyDescent="0.4">
      <c r="A194" s="1"/>
      <c r="B194" s="8" t="s">
        <v>215</v>
      </c>
      <c r="C194" s="8" t="s">
        <v>223</v>
      </c>
      <c r="D194" s="8" t="s">
        <v>13</v>
      </c>
      <c r="E194" s="7">
        <v>93</v>
      </c>
      <c r="F194" s="104">
        <v>90</v>
      </c>
      <c r="G194" s="34">
        <f t="shared" si="12"/>
        <v>-3.2258064516129004E-2</v>
      </c>
    </row>
    <row r="195" spans="1:7" ht="26.25" x14ac:dyDescent="0.4">
      <c r="A195" s="1">
        <v>13</v>
      </c>
      <c r="B195" s="105" t="s">
        <v>215</v>
      </c>
      <c r="C195" s="105" t="s">
        <v>22</v>
      </c>
      <c r="D195" s="105" t="s">
        <v>224</v>
      </c>
      <c r="E195" s="106">
        <f>SUM(E188:E194)</f>
        <v>133519</v>
      </c>
      <c r="F195" s="106">
        <f>SUM(F188:F194)</f>
        <v>114713</v>
      </c>
      <c r="G195" s="107">
        <f t="shared" si="12"/>
        <v>-0.14084886795137774</v>
      </c>
    </row>
    <row r="196" spans="1:7" ht="26.25" x14ac:dyDescent="0.4">
      <c r="A196" s="1"/>
      <c r="B196" s="8" t="s">
        <v>225</v>
      </c>
      <c r="C196" s="8" t="s">
        <v>226</v>
      </c>
      <c r="D196" t="s">
        <v>227</v>
      </c>
      <c r="E196" s="5">
        <v>83137</v>
      </c>
      <c r="F196" s="6">
        <f>E196*0.9</f>
        <v>74823.3</v>
      </c>
      <c r="G196" s="24">
        <f t="shared" si="12"/>
        <v>-9.9999999999999978E-2</v>
      </c>
    </row>
    <row r="197" spans="1:7" ht="26.25" x14ac:dyDescent="0.4">
      <c r="A197" s="1"/>
      <c r="B197" s="8" t="s">
        <v>225</v>
      </c>
      <c r="C197" s="8" t="s">
        <v>226</v>
      </c>
      <c r="D197" t="s">
        <v>228</v>
      </c>
      <c r="E197" s="5">
        <v>89592</v>
      </c>
      <c r="F197" s="6">
        <v>75896</v>
      </c>
      <c r="G197" s="24">
        <f t="shared" si="12"/>
        <v>-0.15287079203500309</v>
      </c>
    </row>
    <row r="198" spans="1:7" ht="26.25" x14ac:dyDescent="0.4">
      <c r="A198" s="1"/>
      <c r="B198" s="8" t="s">
        <v>225</v>
      </c>
      <c r="C198" s="8" t="s">
        <v>226</v>
      </c>
      <c r="D198" t="s">
        <v>229</v>
      </c>
      <c r="E198" s="5">
        <v>74653</v>
      </c>
      <c r="F198" s="6">
        <f>68975</f>
        <v>68975</v>
      </c>
      <c r="G198" s="24">
        <f t="shared" si="12"/>
        <v>-7.6058564290785391E-2</v>
      </c>
    </row>
    <row r="199" spans="1:7" ht="26.25" x14ac:dyDescent="0.4">
      <c r="A199" s="1"/>
      <c r="B199" s="8" t="s">
        <v>225</v>
      </c>
      <c r="C199" s="8" t="s">
        <v>226</v>
      </c>
      <c r="D199" t="s">
        <v>230</v>
      </c>
      <c r="E199" s="5">
        <v>8682</v>
      </c>
      <c r="F199" s="6">
        <f>E199*0.3</f>
        <v>2604.6</v>
      </c>
      <c r="G199" s="24">
        <f t="shared" si="12"/>
        <v>-0.7</v>
      </c>
    </row>
    <row r="200" spans="1:7" ht="26.25" x14ac:dyDescent="0.4">
      <c r="A200" s="1"/>
      <c r="B200" s="8" t="s">
        <v>225</v>
      </c>
      <c r="C200" s="8" t="s">
        <v>226</v>
      </c>
      <c r="D200" t="s">
        <v>231</v>
      </c>
      <c r="E200" s="7">
        <v>31783</v>
      </c>
      <c r="F200" s="6">
        <v>34859</v>
      </c>
      <c r="G200" s="24">
        <f t="shared" si="12"/>
        <v>9.6781298178271413E-2</v>
      </c>
    </row>
    <row r="201" spans="1:7" ht="26.25" x14ac:dyDescent="0.4">
      <c r="A201" s="1"/>
      <c r="B201" s="8" t="s">
        <v>225</v>
      </c>
      <c r="C201" s="8" t="s">
        <v>226</v>
      </c>
      <c r="D201" t="s">
        <v>232</v>
      </c>
      <c r="E201" s="7"/>
      <c r="F201" s="6"/>
      <c r="G201" s="24"/>
    </row>
    <row r="202" spans="1:7" ht="26.25" x14ac:dyDescent="0.4">
      <c r="A202" s="1"/>
      <c r="B202" s="8" t="s">
        <v>225</v>
      </c>
      <c r="C202" s="8" t="s">
        <v>226</v>
      </c>
      <c r="D202" t="s">
        <v>233</v>
      </c>
      <c r="E202" s="7">
        <v>1685</v>
      </c>
      <c r="F202" s="6">
        <v>2000</v>
      </c>
      <c r="G202" s="24">
        <f t="shared" si="12"/>
        <v>0.18694362017804145</v>
      </c>
    </row>
    <row r="203" spans="1:7" ht="26.25" x14ac:dyDescent="0.4">
      <c r="A203" s="1"/>
      <c r="B203" s="8" t="s">
        <v>225</v>
      </c>
      <c r="C203" s="8" t="s">
        <v>226</v>
      </c>
      <c r="D203" t="s">
        <v>234</v>
      </c>
      <c r="E203" s="7">
        <v>1924</v>
      </c>
      <c r="F203" s="6">
        <v>1526</v>
      </c>
      <c r="G203" s="24">
        <f t="shared" si="12"/>
        <v>-0.2068607068607069</v>
      </c>
    </row>
    <row r="204" spans="1:7" ht="26.25" x14ac:dyDescent="0.4">
      <c r="A204" s="1"/>
      <c r="B204" s="8" t="s">
        <v>225</v>
      </c>
      <c r="C204" s="8" t="s">
        <v>226</v>
      </c>
      <c r="D204" t="s">
        <v>235</v>
      </c>
      <c r="E204" s="7">
        <v>22319</v>
      </c>
      <c r="F204" s="6">
        <v>16875</v>
      </c>
      <c r="G204" s="24">
        <f t="shared" si="12"/>
        <v>-0.24391773824992158</v>
      </c>
    </row>
    <row r="205" spans="1:7" ht="26.25" x14ac:dyDescent="0.4">
      <c r="A205" s="1"/>
      <c r="B205" s="8" t="s">
        <v>225</v>
      </c>
      <c r="C205" s="8" t="s">
        <v>226</v>
      </c>
      <c r="D205" t="s">
        <v>236</v>
      </c>
      <c r="E205" s="7">
        <v>65946</v>
      </c>
      <c r="F205" s="108">
        <v>102589</v>
      </c>
      <c r="G205" s="24">
        <f t="shared" si="12"/>
        <v>0.55565159372820183</v>
      </c>
    </row>
    <row r="206" spans="1:7" ht="26.25" x14ac:dyDescent="0.4">
      <c r="A206" s="1"/>
      <c r="B206" s="8" t="s">
        <v>225</v>
      </c>
      <c r="C206" s="8" t="s">
        <v>226</v>
      </c>
      <c r="D206" t="s">
        <v>237</v>
      </c>
      <c r="E206" s="7"/>
      <c r="F206" s="6"/>
      <c r="G206" s="24"/>
    </row>
    <row r="207" spans="1:7" ht="26.25" x14ac:dyDescent="0.4">
      <c r="A207" s="1"/>
      <c r="B207" s="8" t="s">
        <v>225</v>
      </c>
      <c r="C207" s="8" t="s">
        <v>226</v>
      </c>
      <c r="D207" t="s">
        <v>238</v>
      </c>
      <c r="E207" s="7">
        <v>51</v>
      </c>
      <c r="F207" s="6">
        <v>20</v>
      </c>
      <c r="G207" s="24">
        <f t="shared" si="12"/>
        <v>-0.60784313725490202</v>
      </c>
    </row>
    <row r="208" spans="1:7" ht="26.25" x14ac:dyDescent="0.4">
      <c r="A208" s="1"/>
      <c r="B208" s="8" t="s">
        <v>225</v>
      </c>
      <c r="C208" s="8" t="s">
        <v>226</v>
      </c>
      <c r="D208" t="s">
        <v>239</v>
      </c>
      <c r="E208" s="7">
        <v>136422</v>
      </c>
      <c r="F208" s="6">
        <v>127855</v>
      </c>
      <c r="G208" s="24">
        <f t="shared" si="12"/>
        <v>-6.2797789212883592E-2</v>
      </c>
    </row>
    <row r="209" spans="1:7" ht="26.25" x14ac:dyDescent="0.4">
      <c r="A209" s="1"/>
      <c r="B209" s="8" t="s">
        <v>225</v>
      </c>
      <c r="C209" s="8" t="s">
        <v>226</v>
      </c>
      <c r="D209" t="s">
        <v>240</v>
      </c>
      <c r="E209" s="7"/>
      <c r="F209" s="6">
        <v>223</v>
      </c>
      <c r="G209" s="24"/>
    </row>
    <row r="210" spans="1:7" ht="26.25" x14ac:dyDescent="0.4">
      <c r="A210" s="1"/>
      <c r="B210" s="8" t="s">
        <v>225</v>
      </c>
      <c r="C210" s="8" t="s">
        <v>226</v>
      </c>
      <c r="D210" t="s">
        <v>241</v>
      </c>
      <c r="E210" s="7">
        <v>31</v>
      </c>
      <c r="F210" s="6">
        <v>14</v>
      </c>
      <c r="G210" s="24">
        <f t="shared" si="12"/>
        <v>-0.54838709677419351</v>
      </c>
    </row>
    <row r="211" spans="1:7" ht="26.25" x14ac:dyDescent="0.4">
      <c r="A211" s="1"/>
      <c r="B211" s="8" t="s">
        <v>225</v>
      </c>
      <c r="C211" s="8" t="s">
        <v>226</v>
      </c>
      <c r="D211" t="s">
        <v>242</v>
      </c>
      <c r="E211" s="5">
        <v>8141</v>
      </c>
      <c r="F211" s="6">
        <v>8012</v>
      </c>
      <c r="G211" s="24">
        <f t="shared" si="12"/>
        <v>-1.5845719199115593E-2</v>
      </c>
    </row>
    <row r="212" spans="1:7" ht="26.25" x14ac:dyDescent="0.4">
      <c r="A212" s="1"/>
      <c r="B212" s="8" t="s">
        <v>225</v>
      </c>
      <c r="C212" s="8" t="s">
        <v>226</v>
      </c>
      <c r="D212" t="s">
        <v>243</v>
      </c>
      <c r="E212" s="5">
        <v>13</v>
      </c>
      <c r="F212" s="6">
        <v>0</v>
      </c>
      <c r="G212" s="24">
        <f t="shared" si="12"/>
        <v>-1</v>
      </c>
    </row>
    <row r="213" spans="1:7" ht="26.25" x14ac:dyDescent="0.4">
      <c r="A213" s="1"/>
      <c r="B213" s="8" t="s">
        <v>225</v>
      </c>
      <c r="C213" s="8" t="s">
        <v>244</v>
      </c>
      <c r="D213" s="8" t="s">
        <v>13</v>
      </c>
      <c r="E213" s="7">
        <v>168</v>
      </c>
      <c r="F213" s="9">
        <v>199</v>
      </c>
      <c r="G213" s="24">
        <f t="shared" si="12"/>
        <v>0.18452380952380953</v>
      </c>
    </row>
    <row r="214" spans="1:7" ht="26.25" x14ac:dyDescent="0.4">
      <c r="A214" s="1"/>
      <c r="B214" s="109" t="s">
        <v>225</v>
      </c>
      <c r="C214" s="109" t="s">
        <v>22</v>
      </c>
      <c r="D214" s="109" t="s">
        <v>245</v>
      </c>
      <c r="E214" s="110">
        <f>SUM(E196:E213)</f>
        <v>524547</v>
      </c>
      <c r="F214" s="110">
        <f>SUM(F196:F213)</f>
        <v>516470.9</v>
      </c>
      <c r="G214" s="111">
        <f t="shared" si="12"/>
        <v>-1.5396332454479689E-2</v>
      </c>
    </row>
    <row r="215" spans="1:7" ht="26.25" x14ac:dyDescent="0.4">
      <c r="A215" s="1"/>
      <c r="B215" t="s">
        <v>225</v>
      </c>
      <c r="C215" s="8" t="s">
        <v>246</v>
      </c>
      <c r="D215" t="s">
        <v>247</v>
      </c>
      <c r="E215" s="5">
        <v>75098</v>
      </c>
      <c r="F215" s="6">
        <v>73698</v>
      </c>
      <c r="G215" s="24">
        <f t="shared" si="12"/>
        <v>-1.8642307385016932E-2</v>
      </c>
    </row>
    <row r="216" spans="1:7" ht="26.25" x14ac:dyDescent="0.4">
      <c r="A216" s="1"/>
      <c r="B216" t="s">
        <v>225</v>
      </c>
      <c r="C216" s="8" t="s">
        <v>246</v>
      </c>
      <c r="D216" t="s">
        <v>248</v>
      </c>
      <c r="E216" s="5">
        <v>42384</v>
      </c>
      <c r="F216" s="9">
        <v>31589</v>
      </c>
      <c r="G216" s="24">
        <f t="shared" si="12"/>
        <v>-0.25469516798792002</v>
      </c>
    </row>
    <row r="217" spans="1:7" ht="26.25" x14ac:dyDescent="0.4">
      <c r="A217" s="1"/>
      <c r="B217" t="s">
        <v>225</v>
      </c>
      <c r="C217" s="8" t="s">
        <v>246</v>
      </c>
      <c r="D217" t="s">
        <v>249</v>
      </c>
      <c r="E217" s="5">
        <v>67761</v>
      </c>
      <c r="F217" s="6">
        <f>E217*1.45</f>
        <v>98253.45</v>
      </c>
      <c r="G217" s="24">
        <f t="shared" si="12"/>
        <v>0.44999999999999996</v>
      </c>
    </row>
    <row r="218" spans="1:7" ht="26.25" x14ac:dyDescent="0.4">
      <c r="A218" s="1"/>
      <c r="B218" t="s">
        <v>225</v>
      </c>
      <c r="C218" s="8" t="s">
        <v>246</v>
      </c>
      <c r="D218" t="s">
        <v>250</v>
      </c>
      <c r="E218" s="5">
        <v>14309</v>
      </c>
      <c r="F218" s="6">
        <v>11589</v>
      </c>
      <c r="G218" s="24">
        <f t="shared" si="12"/>
        <v>-0.19009015305052768</v>
      </c>
    </row>
    <row r="219" spans="1:7" ht="26.25" x14ac:dyDescent="0.4">
      <c r="A219" s="1"/>
      <c r="B219" t="s">
        <v>225</v>
      </c>
      <c r="C219" s="8" t="s">
        <v>246</v>
      </c>
      <c r="D219" t="s">
        <v>251</v>
      </c>
      <c r="E219" s="5">
        <v>3778</v>
      </c>
      <c r="F219" s="6">
        <v>3689</v>
      </c>
      <c r="G219" s="24">
        <f t="shared" si="12"/>
        <v>-2.3557437797776637E-2</v>
      </c>
    </row>
    <row r="220" spans="1:7" ht="26.25" x14ac:dyDescent="0.4">
      <c r="A220" s="1"/>
      <c r="B220" t="s">
        <v>225</v>
      </c>
      <c r="C220" s="8" t="s">
        <v>246</v>
      </c>
      <c r="D220" t="s">
        <v>252</v>
      </c>
      <c r="E220" s="5">
        <v>17393</v>
      </c>
      <c r="F220" s="6">
        <v>12589</v>
      </c>
      <c r="G220" s="24">
        <f t="shared" si="12"/>
        <v>-0.27620307020065549</v>
      </c>
    </row>
    <row r="221" spans="1:7" ht="26.25" x14ac:dyDescent="0.4">
      <c r="A221" s="1"/>
      <c r="B221" t="s">
        <v>225</v>
      </c>
      <c r="C221" s="8" t="s">
        <v>246</v>
      </c>
      <c r="D221" t="s">
        <v>253</v>
      </c>
      <c r="E221" s="5">
        <v>19695</v>
      </c>
      <c r="F221" s="6">
        <v>1256</v>
      </c>
      <c r="G221" s="24">
        <f t="shared" si="12"/>
        <v>-0.93622746890073627</v>
      </c>
    </row>
    <row r="222" spans="1:7" ht="26.25" x14ac:dyDescent="0.4">
      <c r="A222" s="1"/>
      <c r="B222" t="s">
        <v>225</v>
      </c>
      <c r="C222" s="8" t="s">
        <v>246</v>
      </c>
      <c r="D222" t="s">
        <v>254</v>
      </c>
      <c r="E222" s="5">
        <v>11578</v>
      </c>
      <c r="F222" s="6">
        <v>5289</v>
      </c>
      <c r="G222" s="24">
        <f t="shared" si="12"/>
        <v>-0.54318535152876146</v>
      </c>
    </row>
    <row r="223" spans="1:7" ht="26.25" x14ac:dyDescent="0.4">
      <c r="A223" s="1"/>
      <c r="B223" t="s">
        <v>225</v>
      </c>
      <c r="C223" s="8" t="s">
        <v>246</v>
      </c>
      <c r="D223" t="s">
        <v>255</v>
      </c>
      <c r="E223" s="5">
        <v>54916</v>
      </c>
      <c r="F223" s="6">
        <v>55879</v>
      </c>
      <c r="G223" s="24">
        <f t="shared" si="12"/>
        <v>1.7535872969626443E-2</v>
      </c>
    </row>
    <row r="224" spans="1:7" ht="26.25" x14ac:dyDescent="0.4">
      <c r="A224" s="1"/>
      <c r="B224" t="s">
        <v>225</v>
      </c>
      <c r="C224" s="8" t="s">
        <v>246</v>
      </c>
      <c r="D224" t="s">
        <v>256</v>
      </c>
      <c r="E224" s="5">
        <v>118976</v>
      </c>
      <c r="F224" s="6">
        <v>103574</v>
      </c>
      <c r="G224" s="24">
        <f t="shared" si="12"/>
        <v>-0.12945467993544912</v>
      </c>
    </row>
    <row r="225" spans="1:7" ht="26.25" x14ac:dyDescent="0.4">
      <c r="A225" s="1"/>
      <c r="B225" t="s">
        <v>225</v>
      </c>
      <c r="C225" s="8" t="s">
        <v>246</v>
      </c>
      <c r="D225" t="s">
        <v>257</v>
      </c>
      <c r="E225" s="5">
        <v>44332</v>
      </c>
      <c r="F225" s="6">
        <v>52689</v>
      </c>
      <c r="G225" s="24">
        <f t="shared" si="12"/>
        <v>0.1885094288550031</v>
      </c>
    </row>
    <row r="226" spans="1:7" ht="26.25" x14ac:dyDescent="0.4">
      <c r="A226" s="1"/>
      <c r="B226" t="s">
        <v>225</v>
      </c>
      <c r="C226" s="8" t="s">
        <v>246</v>
      </c>
      <c r="D226" t="s">
        <v>258</v>
      </c>
      <c r="E226" s="7"/>
      <c r="F226" s="6"/>
      <c r="G226" s="24"/>
    </row>
    <row r="227" spans="1:7" ht="26.25" x14ac:dyDescent="0.4">
      <c r="A227" s="1"/>
      <c r="B227" s="8" t="s">
        <v>225</v>
      </c>
      <c r="C227" s="8" t="s">
        <v>246</v>
      </c>
      <c r="D227" s="8" t="s">
        <v>259</v>
      </c>
      <c r="E227" s="7">
        <v>10081</v>
      </c>
      <c r="F227" s="9">
        <v>8125</v>
      </c>
      <c r="G227" s="24">
        <f t="shared" si="12"/>
        <v>-0.19402837020136887</v>
      </c>
    </row>
    <row r="228" spans="1:7" ht="26.25" x14ac:dyDescent="0.4">
      <c r="A228" s="1"/>
      <c r="B228" s="8" t="s">
        <v>225</v>
      </c>
      <c r="C228" s="8" t="s">
        <v>260</v>
      </c>
      <c r="D228" s="8" t="s">
        <v>13</v>
      </c>
      <c r="E228" s="7">
        <v>58</v>
      </c>
      <c r="F228" s="9">
        <v>114</v>
      </c>
      <c r="G228" s="24">
        <f t="shared" si="12"/>
        <v>0.96551724137931028</v>
      </c>
    </row>
    <row r="229" spans="1:7" ht="27" thickBot="1" x14ac:dyDescent="0.45">
      <c r="A229" s="1"/>
      <c r="B229" s="112" t="s">
        <v>225</v>
      </c>
      <c r="C229" s="109" t="s">
        <v>246</v>
      </c>
      <c r="D229" s="109" t="s">
        <v>261</v>
      </c>
      <c r="E229" s="113">
        <f>SUM(E215:E228)</f>
        <v>480359</v>
      </c>
      <c r="F229" s="113">
        <f>SUM(F215:F228)</f>
        <v>458333.45</v>
      </c>
      <c r="G229" s="111">
        <f t="shared" si="12"/>
        <v>-4.5852268823942111E-2</v>
      </c>
    </row>
    <row r="230" spans="1:7" ht="27" thickTop="1" x14ac:dyDescent="0.4">
      <c r="A230" s="1">
        <v>14</v>
      </c>
      <c r="B230" s="114" t="s">
        <v>225</v>
      </c>
      <c r="C230" s="114" t="s">
        <v>22</v>
      </c>
      <c r="D230" s="114" t="s">
        <v>225</v>
      </c>
      <c r="E230" s="115">
        <f>E229+E214</f>
        <v>1004906</v>
      </c>
      <c r="F230" s="115">
        <f>F229+F214</f>
        <v>974804.35000000009</v>
      </c>
      <c r="G230" s="116">
        <f t="shared" si="12"/>
        <v>-2.9954692279675843E-2</v>
      </c>
    </row>
    <row r="231" spans="1:7" ht="26.25" x14ac:dyDescent="0.4">
      <c r="A231" s="1"/>
      <c r="B231" s="117" t="s">
        <v>262</v>
      </c>
      <c r="C231" s="117" t="s">
        <v>263</v>
      </c>
      <c r="D231" s="117" t="s">
        <v>263</v>
      </c>
      <c r="E231" s="118">
        <v>1048</v>
      </c>
      <c r="F231" s="119">
        <v>2004</v>
      </c>
      <c r="G231" s="120">
        <f t="shared" si="12"/>
        <v>0.91221374045801529</v>
      </c>
    </row>
    <row r="232" spans="1:7" ht="26.25" x14ac:dyDescent="0.4">
      <c r="A232" s="1"/>
      <c r="B232" s="14" t="s">
        <v>262</v>
      </c>
      <c r="C232" s="14" t="s">
        <v>264</v>
      </c>
      <c r="D232" s="14" t="s">
        <v>265</v>
      </c>
      <c r="E232" s="5">
        <v>6244</v>
      </c>
      <c r="F232" s="48">
        <v>5586</v>
      </c>
      <c r="G232" s="121">
        <f t="shared" si="12"/>
        <v>-0.10538116591928248</v>
      </c>
    </row>
    <row r="233" spans="1:7" ht="26.25" x14ac:dyDescent="0.4">
      <c r="A233" s="1"/>
      <c r="B233" s="14" t="s">
        <v>262</v>
      </c>
      <c r="C233" s="14" t="s">
        <v>264</v>
      </c>
      <c r="D233" s="14" t="s">
        <v>266</v>
      </c>
      <c r="E233" s="5">
        <v>2625</v>
      </c>
      <c r="F233" s="48">
        <v>2075</v>
      </c>
      <c r="G233" s="121">
        <f t="shared" si="12"/>
        <v>-0.20952380952380956</v>
      </c>
    </row>
    <row r="234" spans="1:7" ht="26.25" x14ac:dyDescent="0.4">
      <c r="A234" s="1"/>
      <c r="B234" s="14" t="s">
        <v>262</v>
      </c>
      <c r="C234" s="14" t="s">
        <v>264</v>
      </c>
      <c r="D234" s="14" t="s">
        <v>267</v>
      </c>
      <c r="E234" s="5">
        <v>2544</v>
      </c>
      <c r="F234" s="48">
        <v>1995</v>
      </c>
      <c r="G234" s="121">
        <f t="shared" si="12"/>
        <v>-0.21580188679245282</v>
      </c>
    </row>
    <row r="235" spans="1:7" ht="26.25" x14ac:dyDescent="0.4">
      <c r="A235" s="1"/>
      <c r="B235" s="14" t="s">
        <v>262</v>
      </c>
      <c r="C235" s="14" t="s">
        <v>264</v>
      </c>
      <c r="D235" s="14" t="s">
        <v>268</v>
      </c>
      <c r="E235" s="5">
        <v>1509</v>
      </c>
      <c r="F235" s="48">
        <v>401</v>
      </c>
      <c r="G235" s="121">
        <f t="shared" si="12"/>
        <v>-0.7342611000662691</v>
      </c>
    </row>
    <row r="236" spans="1:7" ht="26.25" x14ac:dyDescent="0.4">
      <c r="A236" s="1"/>
      <c r="B236" s="14" t="s">
        <v>262</v>
      </c>
      <c r="C236" s="14" t="s">
        <v>264</v>
      </c>
      <c r="D236" s="14" t="s">
        <v>269</v>
      </c>
      <c r="E236" s="5">
        <v>2049</v>
      </c>
      <c r="F236" s="48">
        <v>1803</v>
      </c>
      <c r="G236" s="121">
        <f t="shared" si="12"/>
        <v>-0.12005856515373348</v>
      </c>
    </row>
    <row r="237" spans="1:7" ht="26.25" x14ac:dyDescent="0.4">
      <c r="A237" s="1"/>
      <c r="B237" s="8" t="s">
        <v>262</v>
      </c>
      <c r="C237" s="8" t="s">
        <v>270</v>
      </c>
      <c r="D237" s="8" t="s">
        <v>13</v>
      </c>
      <c r="E237" s="7">
        <v>14</v>
      </c>
      <c r="F237" s="9">
        <v>77</v>
      </c>
      <c r="G237" s="121">
        <f t="shared" si="12"/>
        <v>4.5</v>
      </c>
    </row>
    <row r="238" spans="1:7" ht="26.25" x14ac:dyDescent="0.4">
      <c r="A238" s="1"/>
      <c r="B238" s="117" t="s">
        <v>262</v>
      </c>
      <c r="C238" s="117" t="s">
        <v>264</v>
      </c>
      <c r="D238" s="117" t="s">
        <v>271</v>
      </c>
      <c r="E238" s="118">
        <v>14985</v>
      </c>
      <c r="F238" s="119">
        <f>SUM(F232:F237)</f>
        <v>11937</v>
      </c>
      <c r="G238" s="120">
        <f t="shared" si="12"/>
        <v>-0.20340340340340335</v>
      </c>
    </row>
    <row r="239" spans="1:7" ht="26.25" x14ac:dyDescent="0.4">
      <c r="A239" s="1">
        <v>15</v>
      </c>
      <c r="B239" s="122" t="s">
        <v>262</v>
      </c>
      <c r="C239" s="122" t="s">
        <v>22</v>
      </c>
      <c r="D239" s="122" t="s">
        <v>262</v>
      </c>
      <c r="E239" s="123">
        <v>16033</v>
      </c>
      <c r="F239" s="124">
        <f>F231+F238</f>
        <v>13941</v>
      </c>
      <c r="G239" s="125">
        <f t="shared" si="12"/>
        <v>-0.13048088317844442</v>
      </c>
    </row>
    <row r="240" spans="1:7" ht="26.25" x14ac:dyDescent="0.4">
      <c r="A240" s="1"/>
      <c r="B240" s="8" t="s">
        <v>272</v>
      </c>
      <c r="C240" s="8" t="s">
        <v>272</v>
      </c>
      <c r="D240" t="s">
        <v>273</v>
      </c>
      <c r="E240" s="5">
        <v>13724</v>
      </c>
      <c r="F240" s="9">
        <v>12879</v>
      </c>
      <c r="G240" s="24">
        <f t="shared" si="12"/>
        <v>-6.1570970562518257E-2</v>
      </c>
    </row>
    <row r="241" spans="1:7" ht="26.25" x14ac:dyDescent="0.4">
      <c r="A241" s="1"/>
      <c r="B241" s="8" t="s">
        <v>272</v>
      </c>
      <c r="C241" s="8" t="s">
        <v>272</v>
      </c>
      <c r="D241" t="s">
        <v>274</v>
      </c>
      <c r="E241" s="5">
        <v>32343</v>
      </c>
      <c r="F241" s="9">
        <v>32589</v>
      </c>
      <c r="G241" s="24">
        <f t="shared" si="12"/>
        <v>7.6059734718485483E-3</v>
      </c>
    </row>
    <row r="242" spans="1:7" ht="26.25" x14ac:dyDescent="0.4">
      <c r="A242" s="1"/>
      <c r="B242" s="8" t="s">
        <v>272</v>
      </c>
      <c r="C242" s="8" t="s">
        <v>272</v>
      </c>
      <c r="D242" t="s">
        <v>275</v>
      </c>
      <c r="E242" s="5">
        <v>38250</v>
      </c>
      <c r="F242" s="6">
        <f>E242*0.7</f>
        <v>26775</v>
      </c>
      <c r="G242" s="24">
        <f t="shared" si="12"/>
        <v>-0.30000000000000004</v>
      </c>
    </row>
    <row r="243" spans="1:7" ht="26.25" x14ac:dyDescent="0.4">
      <c r="A243" s="1"/>
      <c r="B243" s="8" t="s">
        <v>272</v>
      </c>
      <c r="C243" s="8" t="s">
        <v>272</v>
      </c>
      <c r="D243" t="s">
        <v>276</v>
      </c>
      <c r="E243" s="5">
        <v>5</v>
      </c>
      <c r="F243" s="6">
        <v>1</v>
      </c>
      <c r="G243" s="24">
        <f t="shared" si="12"/>
        <v>-0.8</v>
      </c>
    </row>
    <row r="244" spans="1:7" ht="26.25" x14ac:dyDescent="0.4">
      <c r="A244" s="1"/>
      <c r="B244" s="8" t="s">
        <v>272</v>
      </c>
      <c r="C244" s="8" t="s">
        <v>272</v>
      </c>
      <c r="D244" t="s">
        <v>277</v>
      </c>
      <c r="E244" s="5">
        <v>19451</v>
      </c>
      <c r="F244" s="6">
        <f>E244*1.1</f>
        <v>21396.100000000002</v>
      </c>
      <c r="G244" s="24">
        <f t="shared" si="12"/>
        <v>0.10000000000000009</v>
      </c>
    </row>
    <row r="245" spans="1:7" ht="26.25" x14ac:dyDescent="0.4">
      <c r="A245" s="1"/>
      <c r="B245" s="8" t="s">
        <v>272</v>
      </c>
      <c r="C245" s="8" t="s">
        <v>272</v>
      </c>
      <c r="D245" t="s">
        <v>278</v>
      </c>
      <c r="E245" s="5">
        <v>55192</v>
      </c>
      <c r="F245" s="6">
        <v>56258</v>
      </c>
      <c r="G245" s="24">
        <f t="shared" si="12"/>
        <v>1.9314393390346352E-2</v>
      </c>
    </row>
    <row r="246" spans="1:7" ht="26.25" x14ac:dyDescent="0.4">
      <c r="A246" s="1"/>
      <c r="B246" s="8" t="s">
        <v>272</v>
      </c>
      <c r="C246" s="8" t="s">
        <v>272</v>
      </c>
      <c r="D246" t="s">
        <v>279</v>
      </c>
      <c r="E246" s="5"/>
      <c r="F246" s="6">
        <v>6000</v>
      </c>
      <c r="G246" s="24"/>
    </row>
    <row r="247" spans="1:7" ht="26.25" x14ac:dyDescent="0.4">
      <c r="A247" s="1"/>
      <c r="B247" s="8" t="s">
        <v>272</v>
      </c>
      <c r="C247" s="8" t="s">
        <v>272</v>
      </c>
      <c r="D247" t="s">
        <v>280</v>
      </c>
      <c r="E247" s="5">
        <v>69196</v>
      </c>
      <c r="F247" s="6">
        <v>65258</v>
      </c>
      <c r="G247" s="24">
        <f t="shared" si="12"/>
        <v>-5.6910804092722089E-2</v>
      </c>
    </row>
    <row r="248" spans="1:7" ht="26.25" x14ac:dyDescent="0.4">
      <c r="A248" s="1"/>
      <c r="B248" s="8" t="s">
        <v>272</v>
      </c>
      <c r="C248" s="8" t="s">
        <v>272</v>
      </c>
      <c r="D248" s="8" t="s">
        <v>281</v>
      </c>
      <c r="E248" s="7">
        <v>26</v>
      </c>
      <c r="F248" s="9">
        <v>35</v>
      </c>
      <c r="G248" s="34">
        <f t="shared" si="12"/>
        <v>0.34615384615384626</v>
      </c>
    </row>
    <row r="249" spans="1:7" ht="26.25" x14ac:dyDescent="0.4">
      <c r="A249" s="1"/>
      <c r="B249" s="8" t="s">
        <v>272</v>
      </c>
      <c r="C249" s="8" t="s">
        <v>282</v>
      </c>
      <c r="D249" s="8" t="s">
        <v>13</v>
      </c>
      <c r="E249" s="7">
        <v>23</v>
      </c>
      <c r="F249" s="9">
        <v>30</v>
      </c>
      <c r="G249" s="34">
        <f t="shared" si="12"/>
        <v>0.30434782608695654</v>
      </c>
    </row>
    <row r="250" spans="1:7" ht="27" thickBot="1" x14ac:dyDescent="0.45">
      <c r="A250" s="1">
        <v>16</v>
      </c>
      <c r="B250" s="126" t="s">
        <v>272</v>
      </c>
      <c r="C250" s="127" t="s">
        <v>22</v>
      </c>
      <c r="D250" s="127" t="s">
        <v>272</v>
      </c>
      <c r="E250" s="128">
        <v>228210</v>
      </c>
      <c r="F250" s="129">
        <f>SUM(F240:F249)</f>
        <v>221221.1</v>
      </c>
      <c r="G250" s="130">
        <f t="shared" si="12"/>
        <v>-3.062486306472112E-2</v>
      </c>
    </row>
    <row r="251" spans="1:7" ht="27" thickTop="1" x14ac:dyDescent="0.4">
      <c r="A251" s="1"/>
      <c r="B251" s="8" t="s">
        <v>283</v>
      </c>
      <c r="C251" s="8" t="s">
        <v>283</v>
      </c>
      <c r="D251" t="s">
        <v>284</v>
      </c>
      <c r="E251" s="5">
        <v>326</v>
      </c>
      <c r="F251" s="6">
        <v>209</v>
      </c>
      <c r="G251" s="24">
        <f t="shared" si="12"/>
        <v>-0.35889570552147243</v>
      </c>
    </row>
    <row r="252" spans="1:7" ht="26.25" x14ac:dyDescent="0.4">
      <c r="A252" s="1"/>
      <c r="B252" s="8" t="s">
        <v>283</v>
      </c>
      <c r="C252" s="8" t="s">
        <v>283</v>
      </c>
      <c r="D252" t="s">
        <v>285</v>
      </c>
      <c r="E252" s="5">
        <v>35817</v>
      </c>
      <c r="F252" s="6">
        <v>36589</v>
      </c>
      <c r="G252" s="24">
        <f t="shared" si="12"/>
        <v>2.1554010665326473E-2</v>
      </c>
    </row>
    <row r="253" spans="1:7" ht="26.25" x14ac:dyDescent="0.4">
      <c r="A253" s="1"/>
      <c r="B253" s="8" t="s">
        <v>283</v>
      </c>
      <c r="C253" s="8" t="s">
        <v>283</v>
      </c>
      <c r="D253" t="s">
        <v>286</v>
      </c>
      <c r="E253" s="5">
        <v>60</v>
      </c>
      <c r="F253" s="6">
        <v>102</v>
      </c>
      <c r="G253" s="24">
        <f t="shared" ref="G253:G316" si="13">F253/E253-1</f>
        <v>0.7</v>
      </c>
    </row>
    <row r="254" spans="1:7" ht="26.25" x14ac:dyDescent="0.4">
      <c r="A254" s="1"/>
      <c r="B254" s="8" t="s">
        <v>283</v>
      </c>
      <c r="C254" s="8" t="s">
        <v>283</v>
      </c>
      <c r="D254" t="s">
        <v>287</v>
      </c>
      <c r="E254" s="5">
        <v>3</v>
      </c>
      <c r="F254" s="6">
        <v>0</v>
      </c>
      <c r="G254" s="24">
        <f t="shared" si="13"/>
        <v>-1</v>
      </c>
    </row>
    <row r="255" spans="1:7" ht="26.25" x14ac:dyDescent="0.4">
      <c r="A255" s="1"/>
      <c r="B255" s="8" t="s">
        <v>283</v>
      </c>
      <c r="C255" s="8" t="s">
        <v>283</v>
      </c>
      <c r="D255" t="s">
        <v>288</v>
      </c>
      <c r="E255" s="5">
        <v>553</v>
      </c>
      <c r="F255" s="6">
        <v>21</v>
      </c>
      <c r="G255" s="24">
        <f t="shared" si="13"/>
        <v>-0.96202531645569622</v>
      </c>
    </row>
    <row r="256" spans="1:7" ht="26.25" x14ac:dyDescent="0.4">
      <c r="A256" s="1"/>
      <c r="B256" s="8" t="s">
        <v>283</v>
      </c>
      <c r="C256" s="8" t="s">
        <v>283</v>
      </c>
      <c r="D256" t="s">
        <v>289</v>
      </c>
      <c r="E256" s="5">
        <v>31125</v>
      </c>
      <c r="F256" s="6">
        <v>25458</v>
      </c>
      <c r="G256" s="24">
        <f t="shared" si="13"/>
        <v>-0.18207228915662654</v>
      </c>
    </row>
    <row r="257" spans="1:7" ht="26.25" x14ac:dyDescent="0.4">
      <c r="A257" s="1"/>
      <c r="B257" s="8" t="s">
        <v>283</v>
      </c>
      <c r="C257" s="8" t="s">
        <v>283</v>
      </c>
      <c r="D257" t="s">
        <v>290</v>
      </c>
      <c r="E257" s="5">
        <v>26307</v>
      </c>
      <c r="F257" s="6">
        <v>27845</v>
      </c>
      <c r="G257" s="24">
        <f t="shared" si="13"/>
        <v>5.846352681795719E-2</v>
      </c>
    </row>
    <row r="258" spans="1:7" ht="26.25" x14ac:dyDescent="0.4">
      <c r="A258" s="1"/>
      <c r="B258" s="8" t="s">
        <v>283</v>
      </c>
      <c r="C258" s="8" t="s">
        <v>283</v>
      </c>
      <c r="D258" t="s">
        <v>291</v>
      </c>
      <c r="E258" s="5">
        <v>39097</v>
      </c>
      <c r="F258" s="6">
        <v>41258</v>
      </c>
      <c r="G258" s="24">
        <f t="shared" si="13"/>
        <v>5.5272783077985554E-2</v>
      </c>
    </row>
    <row r="259" spans="1:7" ht="26.25" x14ac:dyDescent="0.4">
      <c r="A259" s="1"/>
      <c r="B259" s="8" t="s">
        <v>283</v>
      </c>
      <c r="C259" s="8" t="s">
        <v>283</v>
      </c>
      <c r="D259" s="8" t="s">
        <v>292</v>
      </c>
      <c r="E259" s="7">
        <v>4520</v>
      </c>
      <c r="F259" s="9">
        <v>502</v>
      </c>
      <c r="G259" s="34">
        <f t="shared" si="13"/>
        <v>-0.88893805309734519</v>
      </c>
    </row>
    <row r="260" spans="1:7" ht="26.25" x14ac:dyDescent="0.4">
      <c r="A260" s="1"/>
      <c r="B260" s="8" t="s">
        <v>283</v>
      </c>
      <c r="C260" s="8" t="s">
        <v>293</v>
      </c>
      <c r="D260" s="8" t="s">
        <v>13</v>
      </c>
      <c r="E260" s="7">
        <v>392</v>
      </c>
      <c r="F260" s="9">
        <v>705</v>
      </c>
      <c r="G260" s="34">
        <f t="shared" si="13"/>
        <v>0.79846938775510212</v>
      </c>
    </row>
    <row r="261" spans="1:7" ht="27" thickBot="1" x14ac:dyDescent="0.45">
      <c r="A261" s="1">
        <v>17</v>
      </c>
      <c r="B261" s="126" t="s">
        <v>283</v>
      </c>
      <c r="C261" s="127" t="s">
        <v>22</v>
      </c>
      <c r="D261" s="127" t="s">
        <v>283</v>
      </c>
      <c r="E261" s="128">
        <v>138200</v>
      </c>
      <c r="F261" s="129">
        <f>SUM(F251:F260)</f>
        <v>132689</v>
      </c>
      <c r="G261" s="130">
        <f t="shared" si="13"/>
        <v>-3.9876989869753965E-2</v>
      </c>
    </row>
    <row r="262" spans="1:7" ht="27" thickTop="1" x14ac:dyDescent="0.4">
      <c r="A262" s="1"/>
      <c r="B262" s="8" t="s">
        <v>294</v>
      </c>
      <c r="C262" s="8" t="s">
        <v>295</v>
      </c>
      <c r="D262" t="s">
        <v>296</v>
      </c>
      <c r="E262" s="5">
        <v>1422</v>
      </c>
      <c r="F262" s="6">
        <v>1258</v>
      </c>
      <c r="G262" s="24">
        <f t="shared" si="13"/>
        <v>-0.11533052039381153</v>
      </c>
    </row>
    <row r="263" spans="1:7" ht="26.25" x14ac:dyDescent="0.4">
      <c r="A263" s="1"/>
      <c r="B263" s="8" t="s">
        <v>294</v>
      </c>
      <c r="C263" s="8" t="s">
        <v>295</v>
      </c>
      <c r="D263" t="s">
        <v>297</v>
      </c>
      <c r="E263" s="5">
        <v>52374</v>
      </c>
      <c r="F263" s="6">
        <v>50258</v>
      </c>
      <c r="G263" s="24">
        <f t="shared" si="13"/>
        <v>-4.0401726047275321E-2</v>
      </c>
    </row>
    <row r="264" spans="1:7" ht="26.25" x14ac:dyDescent="0.4">
      <c r="A264" s="1"/>
      <c r="B264" s="8" t="s">
        <v>294</v>
      </c>
      <c r="C264" s="8" t="s">
        <v>295</v>
      </c>
      <c r="D264" t="s">
        <v>298</v>
      </c>
      <c r="E264" s="5">
        <v>207386</v>
      </c>
      <c r="F264" s="6">
        <v>203477</v>
      </c>
      <c r="G264" s="24">
        <f t="shared" si="13"/>
        <v>-1.8848909762471888E-2</v>
      </c>
    </row>
    <row r="265" spans="1:7" ht="26.25" x14ac:dyDescent="0.4">
      <c r="A265" s="1"/>
      <c r="B265" s="8" t="s">
        <v>294</v>
      </c>
      <c r="C265" s="8" t="s">
        <v>295</v>
      </c>
      <c r="D265" t="s">
        <v>299</v>
      </c>
      <c r="E265" s="5">
        <v>110124</v>
      </c>
      <c r="F265" s="6">
        <v>112583</v>
      </c>
      <c r="G265" s="24">
        <f t="shared" si="13"/>
        <v>2.2329374160037885E-2</v>
      </c>
    </row>
    <row r="266" spans="1:7" ht="26.25" x14ac:dyDescent="0.4">
      <c r="A266" s="1"/>
      <c r="B266" s="8" t="s">
        <v>294</v>
      </c>
      <c r="C266" s="8" t="s">
        <v>295</v>
      </c>
      <c r="D266" t="s">
        <v>300</v>
      </c>
      <c r="E266" s="5">
        <v>11568</v>
      </c>
      <c r="F266" s="6">
        <v>5589</v>
      </c>
      <c r="G266" s="24">
        <f t="shared" si="13"/>
        <v>-0.51685684647302899</v>
      </c>
    </row>
    <row r="267" spans="1:7" ht="26.25" x14ac:dyDescent="0.4">
      <c r="A267" s="1"/>
      <c r="B267" s="8" t="s">
        <v>294</v>
      </c>
      <c r="C267" s="8" t="s">
        <v>295</v>
      </c>
      <c r="D267" t="s">
        <v>301</v>
      </c>
      <c r="E267" s="5">
        <v>57736</v>
      </c>
      <c r="F267" s="6">
        <v>50258</v>
      </c>
      <c r="G267" s="24">
        <f t="shared" si="13"/>
        <v>-0.12952057641679371</v>
      </c>
    </row>
    <row r="268" spans="1:7" ht="26.25" x14ac:dyDescent="0.4">
      <c r="A268" s="1"/>
      <c r="B268" s="8" t="s">
        <v>294</v>
      </c>
      <c r="C268" s="8" t="s">
        <v>295</v>
      </c>
      <c r="D268" t="s">
        <v>302</v>
      </c>
      <c r="E268" s="5">
        <v>14474</v>
      </c>
      <c r="F268" s="6">
        <v>145</v>
      </c>
      <c r="G268" s="24">
        <f t="shared" si="13"/>
        <v>-0.98998203675556173</v>
      </c>
    </row>
    <row r="269" spans="1:7" ht="26.25" x14ac:dyDescent="0.4">
      <c r="A269" s="1"/>
      <c r="B269" s="8" t="s">
        <v>294</v>
      </c>
      <c r="C269" s="8" t="s">
        <v>295</v>
      </c>
      <c r="D269" t="s">
        <v>303</v>
      </c>
      <c r="E269" s="5">
        <v>223</v>
      </c>
      <c r="F269" s="6">
        <v>2</v>
      </c>
      <c r="G269" s="24">
        <f t="shared" si="13"/>
        <v>-0.99103139013452912</v>
      </c>
    </row>
    <row r="270" spans="1:7" ht="26.25" x14ac:dyDescent="0.4">
      <c r="A270" s="1"/>
      <c r="B270" s="8" t="s">
        <v>294</v>
      </c>
      <c r="C270" s="8" t="s">
        <v>295</v>
      </c>
      <c r="D270" t="s">
        <v>304</v>
      </c>
      <c r="E270" s="5">
        <v>276</v>
      </c>
      <c r="F270" s="6">
        <v>2</v>
      </c>
      <c r="G270" s="24">
        <f t="shared" si="13"/>
        <v>-0.99275362318840576</v>
      </c>
    </row>
    <row r="271" spans="1:7" ht="26.25" x14ac:dyDescent="0.4">
      <c r="A271" s="1"/>
      <c r="B271" s="8" t="s">
        <v>294</v>
      </c>
      <c r="C271" s="8" t="s">
        <v>295</v>
      </c>
      <c r="D271" t="s">
        <v>305</v>
      </c>
      <c r="E271" s="5">
        <v>1718</v>
      </c>
      <c r="F271" s="6">
        <v>82156</v>
      </c>
      <c r="G271" s="24">
        <f t="shared" si="13"/>
        <v>46.820721769499421</v>
      </c>
    </row>
    <row r="272" spans="1:7" ht="26.25" x14ac:dyDescent="0.4">
      <c r="A272" s="1"/>
      <c r="B272" s="8" t="s">
        <v>294</v>
      </c>
      <c r="C272" s="8" t="s">
        <v>295</v>
      </c>
      <c r="D272" t="s">
        <v>306</v>
      </c>
      <c r="E272" s="5">
        <v>212</v>
      </c>
      <c r="F272" s="6">
        <v>0</v>
      </c>
      <c r="G272" s="24">
        <f t="shared" si="13"/>
        <v>-1</v>
      </c>
    </row>
    <row r="273" spans="1:7" ht="26.25" x14ac:dyDescent="0.4">
      <c r="A273" s="1"/>
      <c r="B273" s="8" t="s">
        <v>294</v>
      </c>
      <c r="C273" s="8" t="s">
        <v>295</v>
      </c>
      <c r="D273" t="s">
        <v>307</v>
      </c>
      <c r="E273" s="5">
        <v>33257</v>
      </c>
      <c r="F273" s="6">
        <v>40258</v>
      </c>
      <c r="G273" s="24">
        <f t="shared" si="13"/>
        <v>0.21051207264636007</v>
      </c>
    </row>
    <row r="274" spans="1:7" ht="26.25" x14ac:dyDescent="0.4">
      <c r="A274" s="1"/>
      <c r="B274" s="8" t="s">
        <v>294</v>
      </c>
      <c r="C274" s="8" t="s">
        <v>295</v>
      </c>
      <c r="D274" t="s">
        <v>308</v>
      </c>
      <c r="E274" s="5">
        <v>320</v>
      </c>
      <c r="F274" s="6">
        <v>169</v>
      </c>
      <c r="G274" s="24">
        <f t="shared" si="13"/>
        <v>-0.47187500000000004</v>
      </c>
    </row>
    <row r="275" spans="1:7" ht="26.25" x14ac:dyDescent="0.4">
      <c r="A275" s="1"/>
      <c r="B275" s="8" t="s">
        <v>294</v>
      </c>
      <c r="C275" s="8" t="s">
        <v>295</v>
      </c>
      <c r="D275" t="s">
        <v>309</v>
      </c>
      <c r="E275" s="5">
        <v>52</v>
      </c>
      <c r="F275" s="6">
        <v>3</v>
      </c>
      <c r="G275" s="24">
        <f t="shared" si="13"/>
        <v>-0.94230769230769229</v>
      </c>
    </row>
    <row r="276" spans="1:7" ht="26.25" x14ac:dyDescent="0.4">
      <c r="A276" s="1"/>
      <c r="B276" s="8" t="s">
        <v>294</v>
      </c>
      <c r="C276" s="8" t="s">
        <v>295</v>
      </c>
      <c r="D276" t="s">
        <v>310</v>
      </c>
      <c r="E276" s="5">
        <v>75515</v>
      </c>
      <c r="F276" s="6">
        <v>40258</v>
      </c>
      <c r="G276" s="24">
        <f t="shared" si="13"/>
        <v>-0.46688737336952923</v>
      </c>
    </row>
    <row r="277" spans="1:7" ht="26.25" x14ac:dyDescent="0.4">
      <c r="A277" s="1"/>
      <c r="B277" s="8" t="s">
        <v>294</v>
      </c>
      <c r="C277" s="8" t="s">
        <v>295</v>
      </c>
      <c r="D277" t="s">
        <v>311</v>
      </c>
      <c r="E277" s="5">
        <v>1</v>
      </c>
      <c r="F277" s="6">
        <v>0</v>
      </c>
      <c r="G277" s="24">
        <f t="shared" si="13"/>
        <v>-1</v>
      </c>
    </row>
    <row r="278" spans="1:7" ht="26.25" x14ac:dyDescent="0.4">
      <c r="A278" s="1"/>
      <c r="B278" s="8" t="s">
        <v>294</v>
      </c>
      <c r="C278" s="8" t="s">
        <v>295</v>
      </c>
      <c r="D278" s="8" t="s">
        <v>312</v>
      </c>
      <c r="E278" s="7">
        <v>11672</v>
      </c>
      <c r="F278" s="9">
        <v>12978</v>
      </c>
      <c r="G278" s="34">
        <f t="shared" si="13"/>
        <v>0.11189170664838932</v>
      </c>
    </row>
    <row r="279" spans="1:7" ht="26.25" x14ac:dyDescent="0.4">
      <c r="A279" s="1"/>
      <c r="B279" s="8" t="s">
        <v>294</v>
      </c>
      <c r="C279" s="8" t="s">
        <v>313</v>
      </c>
      <c r="D279" s="8" t="s">
        <v>13</v>
      </c>
      <c r="E279" s="7">
        <v>9735</v>
      </c>
      <c r="F279" s="9">
        <v>10998</v>
      </c>
      <c r="G279" s="34">
        <f t="shared" si="13"/>
        <v>0.12973805855161791</v>
      </c>
    </row>
    <row r="280" spans="1:7" ht="26.25" x14ac:dyDescent="0.4">
      <c r="A280" s="1"/>
      <c r="B280" s="58" t="s">
        <v>294</v>
      </c>
      <c r="C280" s="58" t="s">
        <v>22</v>
      </c>
      <c r="D280" s="58" t="s">
        <v>314</v>
      </c>
      <c r="E280" s="131">
        <f>SUM(E262:E279)</f>
        <v>588065</v>
      </c>
      <c r="F280" s="131">
        <f>SUM(F262:F279)</f>
        <v>610392</v>
      </c>
      <c r="G280" s="132">
        <f t="shared" si="13"/>
        <v>3.7966891415064596E-2</v>
      </c>
    </row>
    <row r="281" spans="1:7" ht="26.25" x14ac:dyDescent="0.4">
      <c r="A281" s="1"/>
      <c r="B281" s="8" t="s">
        <v>294</v>
      </c>
      <c r="C281" s="8" t="s">
        <v>315</v>
      </c>
      <c r="D281" t="s">
        <v>316</v>
      </c>
      <c r="E281" s="5">
        <v>17996</v>
      </c>
      <c r="F281" s="9">
        <v>8002</v>
      </c>
      <c r="G281" s="24">
        <f t="shared" si="13"/>
        <v>-0.55534563236274725</v>
      </c>
    </row>
    <row r="282" spans="1:7" ht="26.25" x14ac:dyDescent="0.4">
      <c r="A282" s="1"/>
      <c r="B282" s="8" t="s">
        <v>294</v>
      </c>
      <c r="C282" s="8" t="s">
        <v>315</v>
      </c>
      <c r="D282" t="s">
        <v>317</v>
      </c>
      <c r="E282" s="5">
        <v>6153</v>
      </c>
      <c r="F282" s="9">
        <v>235</v>
      </c>
      <c r="G282" s="24">
        <f t="shared" si="13"/>
        <v>-0.96180724849666832</v>
      </c>
    </row>
    <row r="283" spans="1:7" ht="26.25" x14ac:dyDescent="0.4">
      <c r="A283" s="1"/>
      <c r="B283" s="8" t="s">
        <v>294</v>
      </c>
      <c r="C283" s="8" t="s">
        <v>315</v>
      </c>
      <c r="D283" s="8" t="s">
        <v>318</v>
      </c>
      <c r="E283" s="7">
        <v>2717</v>
      </c>
      <c r="F283" s="9">
        <v>150</v>
      </c>
      <c r="G283" s="34">
        <f t="shared" si="13"/>
        <v>-0.94479205005520794</v>
      </c>
    </row>
    <row r="284" spans="1:7" ht="26.25" x14ac:dyDescent="0.4">
      <c r="A284" s="1"/>
      <c r="B284" s="8" t="s">
        <v>294</v>
      </c>
      <c r="C284" s="8" t="s">
        <v>315</v>
      </c>
      <c r="D284" s="8" t="s">
        <v>319</v>
      </c>
      <c r="E284" s="7"/>
      <c r="F284" s="9">
        <v>15856</v>
      </c>
      <c r="G284" s="34"/>
    </row>
    <row r="285" spans="1:7" ht="26.25" x14ac:dyDescent="0.4">
      <c r="A285" s="1"/>
      <c r="B285" s="8" t="s">
        <v>294</v>
      </c>
      <c r="C285" s="8" t="s">
        <v>315</v>
      </c>
      <c r="D285" t="s">
        <v>320</v>
      </c>
      <c r="E285" s="5">
        <v>18361</v>
      </c>
      <c r="F285" s="9">
        <v>27896</v>
      </c>
      <c r="G285" s="24">
        <f t="shared" si="13"/>
        <v>0.51930722727520284</v>
      </c>
    </row>
    <row r="286" spans="1:7" ht="26.25" x14ac:dyDescent="0.4">
      <c r="A286" s="1"/>
      <c r="B286" s="58" t="s">
        <v>294</v>
      </c>
      <c r="C286" s="58" t="s">
        <v>22</v>
      </c>
      <c r="D286" s="58" t="s">
        <v>321</v>
      </c>
      <c r="E286" s="100">
        <f>SUM(E281:E285)</f>
        <v>45227</v>
      </c>
      <c r="F286" s="100">
        <f>SUM(F281:F285)</f>
        <v>52139</v>
      </c>
      <c r="G286" s="132">
        <f t="shared" si="13"/>
        <v>0.15282906228580262</v>
      </c>
    </row>
    <row r="287" spans="1:7" ht="26.25" x14ac:dyDescent="0.4">
      <c r="A287" s="1"/>
      <c r="B287" s="8" t="s">
        <v>294</v>
      </c>
      <c r="C287" t="s">
        <v>322</v>
      </c>
      <c r="D287" t="s">
        <v>323</v>
      </c>
      <c r="E287" s="5">
        <v>41138</v>
      </c>
      <c r="F287" s="9">
        <v>46525</v>
      </c>
      <c r="G287" s="24">
        <f t="shared" si="13"/>
        <v>0.13094948709222609</v>
      </c>
    </row>
    <row r="288" spans="1:7" ht="26.25" x14ac:dyDescent="0.4">
      <c r="A288" s="1"/>
      <c r="B288" s="8" t="s">
        <v>294</v>
      </c>
      <c r="C288" t="s">
        <v>322</v>
      </c>
      <c r="D288" t="s">
        <v>324</v>
      </c>
      <c r="E288" s="5">
        <v>2383</v>
      </c>
      <c r="F288" s="9">
        <v>1502</v>
      </c>
      <c r="G288" s="24">
        <f t="shared" si="13"/>
        <v>-0.36970205623164076</v>
      </c>
    </row>
    <row r="289" spans="1:7" ht="26.25" x14ac:dyDescent="0.4">
      <c r="A289" s="1"/>
      <c r="B289" s="8" t="s">
        <v>294</v>
      </c>
      <c r="C289" t="s">
        <v>322</v>
      </c>
      <c r="D289" t="s">
        <v>325</v>
      </c>
      <c r="E289" s="5">
        <v>156827</v>
      </c>
      <c r="F289" s="6">
        <f>E289*0.8</f>
        <v>125461.6</v>
      </c>
      <c r="G289" s="24">
        <f t="shared" si="13"/>
        <v>-0.19999999999999996</v>
      </c>
    </row>
    <row r="290" spans="1:7" ht="26.25" x14ac:dyDescent="0.4">
      <c r="A290" s="1"/>
      <c r="B290" s="8" t="s">
        <v>294</v>
      </c>
      <c r="C290" t="s">
        <v>322</v>
      </c>
      <c r="D290" t="s">
        <v>326</v>
      </c>
      <c r="E290" s="5">
        <v>1899</v>
      </c>
      <c r="F290" s="9">
        <v>1403</v>
      </c>
      <c r="G290" s="24">
        <f t="shared" si="13"/>
        <v>-0.2611901000526593</v>
      </c>
    </row>
    <row r="291" spans="1:7" ht="26.25" x14ac:dyDescent="0.4">
      <c r="A291" s="1"/>
      <c r="B291" s="8" t="s">
        <v>294</v>
      </c>
      <c r="C291" t="s">
        <v>322</v>
      </c>
      <c r="D291" t="s">
        <v>327</v>
      </c>
      <c r="E291" s="5">
        <v>214324</v>
      </c>
      <c r="F291" s="9">
        <v>220596</v>
      </c>
      <c r="G291" s="24">
        <f t="shared" si="13"/>
        <v>2.9264104813273351E-2</v>
      </c>
    </row>
    <row r="292" spans="1:7" ht="26.25" x14ac:dyDescent="0.4">
      <c r="A292" s="1"/>
      <c r="B292" s="8" t="s">
        <v>294</v>
      </c>
      <c r="C292" t="s">
        <v>322</v>
      </c>
      <c r="D292" t="s">
        <v>328</v>
      </c>
      <c r="E292" s="5">
        <v>95105</v>
      </c>
      <c r="F292" s="9">
        <v>105896</v>
      </c>
      <c r="G292" s="24">
        <f t="shared" si="13"/>
        <v>0.1134640660322801</v>
      </c>
    </row>
    <row r="293" spans="1:7" ht="26.25" x14ac:dyDescent="0.4">
      <c r="A293" s="1"/>
      <c r="B293" s="8" t="s">
        <v>294</v>
      </c>
      <c r="C293" t="s">
        <v>322</v>
      </c>
      <c r="D293" t="s">
        <v>329</v>
      </c>
      <c r="E293" s="5">
        <v>74299</v>
      </c>
      <c r="F293" s="6">
        <f>E293*1.25</f>
        <v>92873.75</v>
      </c>
      <c r="G293" s="24">
        <f t="shared" si="13"/>
        <v>0.25</v>
      </c>
    </row>
    <row r="294" spans="1:7" ht="26.25" x14ac:dyDescent="0.4">
      <c r="A294" s="1"/>
      <c r="B294" s="8" t="s">
        <v>294</v>
      </c>
      <c r="C294" t="s">
        <v>322</v>
      </c>
      <c r="D294" t="s">
        <v>330</v>
      </c>
      <c r="E294" s="5">
        <v>67053</v>
      </c>
      <c r="F294" s="9">
        <v>40258</v>
      </c>
      <c r="G294" s="24">
        <f t="shared" si="13"/>
        <v>-0.39960926431330435</v>
      </c>
    </row>
    <row r="295" spans="1:7" ht="26.25" x14ac:dyDescent="0.4">
      <c r="A295" s="1"/>
      <c r="B295" s="8" t="s">
        <v>294</v>
      </c>
      <c r="C295" t="s">
        <v>322</v>
      </c>
      <c r="D295" t="s">
        <v>331</v>
      </c>
      <c r="E295" s="5">
        <v>47920</v>
      </c>
      <c r="F295" s="9">
        <v>58796</v>
      </c>
      <c r="G295" s="24">
        <f t="shared" si="13"/>
        <v>0.22696160267111853</v>
      </c>
    </row>
    <row r="296" spans="1:7" ht="26.25" x14ac:dyDescent="0.4">
      <c r="A296" s="1"/>
      <c r="B296" s="8" t="s">
        <v>294</v>
      </c>
      <c r="C296" t="s">
        <v>322</v>
      </c>
      <c r="D296" t="s">
        <v>332</v>
      </c>
      <c r="E296" s="5">
        <v>292</v>
      </c>
      <c r="F296" s="9">
        <v>7</v>
      </c>
      <c r="G296" s="24">
        <f t="shared" si="13"/>
        <v>-0.97602739726027399</v>
      </c>
    </row>
    <row r="297" spans="1:7" ht="26.25" x14ac:dyDescent="0.4">
      <c r="A297" s="1"/>
      <c r="B297" s="8" t="s">
        <v>294</v>
      </c>
      <c r="C297" t="s">
        <v>322</v>
      </c>
      <c r="D297" t="s">
        <v>333</v>
      </c>
      <c r="E297" s="5">
        <v>118797</v>
      </c>
      <c r="F297" s="6">
        <f>E297*0.8</f>
        <v>95037.6</v>
      </c>
      <c r="G297" s="24">
        <f t="shared" si="13"/>
        <v>-0.19999999999999996</v>
      </c>
    </row>
    <row r="298" spans="1:7" ht="26.25" x14ac:dyDescent="0.4">
      <c r="A298" s="1"/>
      <c r="B298" s="8" t="s">
        <v>294</v>
      </c>
      <c r="C298" t="s">
        <v>322</v>
      </c>
      <c r="D298" t="s">
        <v>334</v>
      </c>
      <c r="E298" s="5">
        <v>29220</v>
      </c>
      <c r="F298" s="9">
        <v>13258</v>
      </c>
      <c r="G298" s="24">
        <f t="shared" si="13"/>
        <v>-0.54626967830253248</v>
      </c>
    </row>
    <row r="299" spans="1:7" ht="26.25" x14ac:dyDescent="0.4">
      <c r="A299" s="1"/>
      <c r="B299" s="8" t="s">
        <v>294</v>
      </c>
      <c r="C299" t="s">
        <v>322</v>
      </c>
      <c r="D299" t="s">
        <v>335</v>
      </c>
      <c r="E299" s="5">
        <v>3821</v>
      </c>
      <c r="F299" s="9">
        <v>15845</v>
      </c>
      <c r="G299" s="24">
        <f t="shared" si="13"/>
        <v>3.146820204135043</v>
      </c>
    </row>
    <row r="300" spans="1:7" ht="26.25" x14ac:dyDescent="0.4">
      <c r="A300" s="1"/>
      <c r="B300" s="8" t="s">
        <v>294</v>
      </c>
      <c r="C300" t="s">
        <v>322</v>
      </c>
      <c r="D300" t="s">
        <v>336</v>
      </c>
      <c r="E300" s="5">
        <v>14029</v>
      </c>
      <c r="F300" s="9">
        <v>11259</v>
      </c>
      <c r="G300" s="24">
        <f t="shared" si="13"/>
        <v>-0.19744814313208359</v>
      </c>
    </row>
    <row r="301" spans="1:7" ht="26.25" x14ac:dyDescent="0.4">
      <c r="A301" s="1"/>
      <c r="B301" s="8" t="s">
        <v>294</v>
      </c>
      <c r="C301" s="8" t="s">
        <v>337</v>
      </c>
      <c r="D301" s="8" t="s">
        <v>13</v>
      </c>
      <c r="E301" s="7">
        <v>1033</v>
      </c>
      <c r="F301" s="9">
        <v>3589</v>
      </c>
      <c r="G301" s="34">
        <f t="shared" si="13"/>
        <v>2.474346563407551</v>
      </c>
    </row>
    <row r="302" spans="1:7" ht="26.25" x14ac:dyDescent="0.4">
      <c r="A302" s="1"/>
      <c r="B302" s="133" t="s">
        <v>294</v>
      </c>
      <c r="C302" s="133" t="s">
        <v>322</v>
      </c>
      <c r="D302" s="133" t="s">
        <v>338</v>
      </c>
      <c r="E302" s="134">
        <f>SUM(E287:E301)</f>
        <v>868140</v>
      </c>
      <c r="F302" s="134">
        <f>SUM(F287:F301)</f>
        <v>832306.95</v>
      </c>
      <c r="G302" s="132">
        <f t="shared" si="13"/>
        <v>-4.1275658303960294E-2</v>
      </c>
    </row>
    <row r="303" spans="1:7" ht="26.25" x14ac:dyDescent="0.4">
      <c r="A303" s="1"/>
      <c r="B303" s="8" t="s">
        <v>294</v>
      </c>
      <c r="C303" t="s">
        <v>339</v>
      </c>
      <c r="D303" t="s">
        <v>340</v>
      </c>
      <c r="E303" s="5">
        <v>1638</v>
      </c>
      <c r="F303" s="135">
        <v>1258</v>
      </c>
      <c r="G303" s="24">
        <f t="shared" si="13"/>
        <v>-0.23199023199023194</v>
      </c>
    </row>
    <row r="304" spans="1:7" ht="26.25" x14ac:dyDescent="0.4">
      <c r="A304" s="1"/>
      <c r="B304" s="8" t="s">
        <v>294</v>
      </c>
      <c r="C304" t="s">
        <v>339</v>
      </c>
      <c r="D304" s="69">
        <v>107</v>
      </c>
      <c r="E304" s="5">
        <v>2</v>
      </c>
      <c r="F304" s="135">
        <v>1</v>
      </c>
      <c r="G304" s="24">
        <f t="shared" si="13"/>
        <v>-0.5</v>
      </c>
    </row>
    <row r="305" spans="1:7" ht="26.25" x14ac:dyDescent="0.4">
      <c r="A305" s="1"/>
      <c r="B305" s="8" t="s">
        <v>294</v>
      </c>
      <c r="C305" t="s">
        <v>339</v>
      </c>
      <c r="D305" s="69">
        <v>108</v>
      </c>
      <c r="E305" s="5">
        <v>57743</v>
      </c>
      <c r="F305" s="135">
        <v>55258</v>
      </c>
      <c r="G305" s="24">
        <f t="shared" si="13"/>
        <v>-4.303551945690387E-2</v>
      </c>
    </row>
    <row r="306" spans="1:7" ht="26.25" x14ac:dyDescent="0.4">
      <c r="A306" s="1"/>
      <c r="B306" s="8" t="s">
        <v>294</v>
      </c>
      <c r="C306" t="s">
        <v>339</v>
      </c>
      <c r="D306" s="69">
        <v>207</v>
      </c>
      <c r="E306" s="5">
        <v>14</v>
      </c>
      <c r="F306" s="135">
        <v>1</v>
      </c>
      <c r="G306" s="24">
        <f t="shared" si="13"/>
        <v>-0.9285714285714286</v>
      </c>
    </row>
    <row r="307" spans="1:7" ht="26.25" x14ac:dyDescent="0.4">
      <c r="A307" s="1"/>
      <c r="B307" s="8" t="s">
        <v>294</v>
      </c>
      <c r="C307" t="s">
        <v>339</v>
      </c>
      <c r="D307" s="69">
        <v>208</v>
      </c>
      <c r="E307" s="5">
        <v>227372</v>
      </c>
      <c r="F307" s="135">
        <v>226985</v>
      </c>
      <c r="G307" s="24">
        <f t="shared" si="13"/>
        <v>-1.7020565417026345E-3</v>
      </c>
    </row>
    <row r="308" spans="1:7" ht="26.25" x14ac:dyDescent="0.4">
      <c r="A308" s="1"/>
      <c r="B308" s="8" t="s">
        <v>294</v>
      </c>
      <c r="C308" t="s">
        <v>339</v>
      </c>
      <c r="D308" s="69">
        <v>301</v>
      </c>
      <c r="E308" s="5">
        <v>1761</v>
      </c>
      <c r="F308" s="135">
        <v>1254</v>
      </c>
      <c r="G308" s="24">
        <f t="shared" si="13"/>
        <v>-0.2879045996592845</v>
      </c>
    </row>
    <row r="309" spans="1:7" ht="26.25" x14ac:dyDescent="0.4">
      <c r="A309" s="1"/>
      <c r="B309" s="8" t="s">
        <v>294</v>
      </c>
      <c r="C309" t="s">
        <v>339</v>
      </c>
      <c r="D309" s="69">
        <v>308</v>
      </c>
      <c r="E309" s="5">
        <v>153967</v>
      </c>
      <c r="F309" s="135">
        <v>135289</v>
      </c>
      <c r="G309" s="24">
        <f t="shared" si="13"/>
        <v>-0.12131170965206828</v>
      </c>
    </row>
    <row r="310" spans="1:7" ht="26.25" x14ac:dyDescent="0.4">
      <c r="A310" s="1"/>
      <c r="B310" s="8" t="s">
        <v>294</v>
      </c>
      <c r="C310" t="s">
        <v>339</v>
      </c>
      <c r="D310" s="69">
        <v>508</v>
      </c>
      <c r="E310" s="5">
        <v>12598</v>
      </c>
      <c r="F310" s="135">
        <v>19879</v>
      </c>
      <c r="G310" s="24">
        <f t="shared" si="13"/>
        <v>0.57794888077472617</v>
      </c>
    </row>
    <row r="311" spans="1:7" ht="26.25" x14ac:dyDescent="0.4">
      <c r="A311" s="1"/>
      <c r="B311" s="8" t="s">
        <v>294</v>
      </c>
      <c r="C311" t="s">
        <v>339</v>
      </c>
      <c r="D311" t="s">
        <v>341</v>
      </c>
      <c r="E311" s="5">
        <v>0</v>
      </c>
      <c r="F311" s="136"/>
      <c r="G311" s="24"/>
    </row>
    <row r="312" spans="1:7" ht="26.25" x14ac:dyDescent="0.4">
      <c r="A312" s="1"/>
      <c r="B312" s="8" t="s">
        <v>294</v>
      </c>
      <c r="C312" t="s">
        <v>339</v>
      </c>
      <c r="D312" s="69">
        <v>2008</v>
      </c>
      <c r="E312" s="5">
        <v>177355</v>
      </c>
      <c r="F312" s="136">
        <v>159863</v>
      </c>
      <c r="G312" s="24">
        <f t="shared" si="13"/>
        <v>-9.8627047447210403E-2</v>
      </c>
    </row>
    <row r="313" spans="1:7" ht="26.25" x14ac:dyDescent="0.4">
      <c r="A313" s="1"/>
      <c r="B313" s="8" t="s">
        <v>294</v>
      </c>
      <c r="C313" t="s">
        <v>339</v>
      </c>
      <c r="D313" s="69">
        <v>3008</v>
      </c>
      <c r="E313" s="5">
        <v>202400</v>
      </c>
      <c r="F313" s="136">
        <v>190258</v>
      </c>
      <c r="G313" s="24">
        <f t="shared" si="13"/>
        <v>-5.9990118577075147E-2</v>
      </c>
    </row>
    <row r="314" spans="1:7" ht="26.25" x14ac:dyDescent="0.4">
      <c r="A314" s="1"/>
      <c r="B314" s="8" t="s">
        <v>294</v>
      </c>
      <c r="C314" t="s">
        <v>339</v>
      </c>
      <c r="D314" s="69">
        <v>4008</v>
      </c>
      <c r="E314" s="5">
        <v>17</v>
      </c>
      <c r="F314" s="136">
        <v>0</v>
      </c>
      <c r="G314" s="24">
        <f t="shared" si="13"/>
        <v>-1</v>
      </c>
    </row>
    <row r="315" spans="1:7" ht="26.25" x14ac:dyDescent="0.4">
      <c r="A315" s="1"/>
      <c r="B315" s="8" t="s">
        <v>294</v>
      </c>
      <c r="C315" t="s">
        <v>339</v>
      </c>
      <c r="D315" s="69">
        <v>5008</v>
      </c>
      <c r="E315" s="5">
        <v>79113</v>
      </c>
      <c r="F315" s="136">
        <f>0.85*E315</f>
        <v>67246.05</v>
      </c>
      <c r="G315" s="24">
        <f t="shared" si="13"/>
        <v>-0.14999999999999991</v>
      </c>
    </row>
    <row r="316" spans="1:7" ht="26.25" x14ac:dyDescent="0.4">
      <c r="A316" s="1"/>
      <c r="B316" s="8" t="s">
        <v>294</v>
      </c>
      <c r="C316" t="s">
        <v>339</v>
      </c>
      <c r="D316" s="69">
        <v>807</v>
      </c>
      <c r="E316" s="5">
        <v>2</v>
      </c>
      <c r="F316" s="136">
        <v>0</v>
      </c>
      <c r="G316" s="24">
        <f t="shared" si="13"/>
        <v>-1</v>
      </c>
    </row>
    <row r="317" spans="1:7" ht="26.25" x14ac:dyDescent="0.4">
      <c r="A317" s="1"/>
      <c r="B317" s="8" t="s">
        <v>294</v>
      </c>
      <c r="C317" t="s">
        <v>339</v>
      </c>
      <c r="D317" t="s">
        <v>342</v>
      </c>
      <c r="E317" s="5">
        <v>91</v>
      </c>
      <c r="F317" s="136">
        <v>1</v>
      </c>
      <c r="G317" s="24">
        <f t="shared" ref="G317:G380" si="14">F317/E317-1</f>
        <v>-0.98901098901098905</v>
      </c>
    </row>
    <row r="318" spans="1:7" ht="26.25" x14ac:dyDescent="0.4">
      <c r="A318" s="1"/>
      <c r="B318" s="8" t="s">
        <v>294</v>
      </c>
      <c r="C318" t="s">
        <v>339</v>
      </c>
      <c r="D318" t="s">
        <v>343</v>
      </c>
      <c r="E318" s="5">
        <v>7392</v>
      </c>
      <c r="F318" s="136">
        <v>52369</v>
      </c>
      <c r="G318" s="24">
        <f t="shared" si="14"/>
        <v>6.0845508658008658</v>
      </c>
    </row>
    <row r="319" spans="1:7" ht="26.25" x14ac:dyDescent="0.4">
      <c r="A319" s="1"/>
      <c r="B319" s="8" t="s">
        <v>294</v>
      </c>
      <c r="C319" t="s">
        <v>339</v>
      </c>
      <c r="D319" t="s">
        <v>344</v>
      </c>
      <c r="E319" s="5">
        <v>19612</v>
      </c>
      <c r="F319" s="136">
        <v>1200</v>
      </c>
      <c r="G319" s="24">
        <f t="shared" si="14"/>
        <v>-0.93881297165001021</v>
      </c>
    </row>
    <row r="320" spans="1:7" ht="26.25" x14ac:dyDescent="0.4">
      <c r="A320" s="1"/>
      <c r="B320" s="8" t="s">
        <v>294</v>
      </c>
      <c r="C320" t="s">
        <v>339</v>
      </c>
      <c r="D320" t="s">
        <v>345</v>
      </c>
      <c r="E320" s="5">
        <v>448</v>
      </c>
      <c r="F320" s="136">
        <v>501</v>
      </c>
      <c r="G320" s="24">
        <f t="shared" si="14"/>
        <v>0.1183035714285714</v>
      </c>
    </row>
    <row r="321" spans="1:10" ht="26.25" x14ac:dyDescent="0.4">
      <c r="A321" s="1"/>
      <c r="B321" s="8" t="s">
        <v>294</v>
      </c>
      <c r="C321" t="s">
        <v>339</v>
      </c>
      <c r="D321" t="s">
        <v>346</v>
      </c>
      <c r="E321" s="5">
        <v>12234</v>
      </c>
      <c r="F321" s="136">
        <v>13678</v>
      </c>
      <c r="G321" s="24">
        <f t="shared" si="14"/>
        <v>0.1180317148929213</v>
      </c>
    </row>
    <row r="322" spans="1:10" ht="26.25" x14ac:dyDescent="0.4">
      <c r="A322" s="1"/>
      <c r="B322" s="8" t="s">
        <v>294</v>
      </c>
      <c r="C322" s="8" t="s">
        <v>347</v>
      </c>
      <c r="D322" s="8" t="s">
        <v>13</v>
      </c>
      <c r="E322" s="7">
        <v>4653</v>
      </c>
      <c r="F322" s="135">
        <v>5028</v>
      </c>
      <c r="G322" s="34">
        <f t="shared" si="14"/>
        <v>8.0593165699548663E-2</v>
      </c>
    </row>
    <row r="323" spans="1:10" ht="26.25" x14ac:dyDescent="0.4">
      <c r="A323" s="1"/>
      <c r="B323" s="58" t="s">
        <v>294</v>
      </c>
      <c r="C323" s="58" t="s">
        <v>339</v>
      </c>
      <c r="D323" s="58" t="s">
        <v>348</v>
      </c>
      <c r="E323" s="100">
        <f>SUM(E303:E322)</f>
        <v>958412</v>
      </c>
      <c r="F323" s="100">
        <f>SUM(F303:F322)</f>
        <v>930069.05</v>
      </c>
      <c r="G323" s="132">
        <f t="shared" si="14"/>
        <v>-2.9572824630743288E-2</v>
      </c>
    </row>
    <row r="324" spans="1:10" ht="26.25" x14ac:dyDescent="0.25">
      <c r="A324" s="137">
        <v>18</v>
      </c>
      <c r="B324" s="138" t="s">
        <v>294</v>
      </c>
      <c r="C324" s="138" t="s">
        <v>22</v>
      </c>
      <c r="D324" s="138" t="s">
        <v>349</v>
      </c>
      <c r="E324" s="139">
        <f>E323+E302+E286+E280</f>
        <v>2459844</v>
      </c>
      <c r="F324" s="139">
        <f>F323+F302+F286+F280</f>
        <v>2424907</v>
      </c>
      <c r="G324" s="140">
        <f t="shared" si="14"/>
        <v>-1.4202933194137568E-2</v>
      </c>
      <c r="H324" s="141"/>
      <c r="I324" s="141"/>
      <c r="J324" s="141"/>
    </row>
    <row r="325" spans="1:10" ht="26.25" x14ac:dyDescent="0.4">
      <c r="A325" s="1"/>
      <c r="B325" t="s">
        <v>350</v>
      </c>
      <c r="C325" s="8" t="s">
        <v>351</v>
      </c>
      <c r="D325" t="s">
        <v>352</v>
      </c>
      <c r="E325" s="5">
        <v>3111</v>
      </c>
      <c r="F325" s="135">
        <v>1502</v>
      </c>
      <c r="G325" s="24">
        <f t="shared" si="14"/>
        <v>-0.51719704275152689</v>
      </c>
    </row>
    <row r="326" spans="1:10" ht="26.25" x14ac:dyDescent="0.4">
      <c r="A326" s="1"/>
      <c r="B326" t="s">
        <v>350</v>
      </c>
      <c r="C326" t="s">
        <v>351</v>
      </c>
      <c r="D326" t="s">
        <v>353</v>
      </c>
      <c r="E326" s="5">
        <v>1443</v>
      </c>
      <c r="F326" s="135">
        <v>689</v>
      </c>
      <c r="G326" s="24">
        <f t="shared" si="14"/>
        <v>-0.52252252252252251</v>
      </c>
    </row>
    <row r="327" spans="1:10" ht="26.25" x14ac:dyDescent="0.4">
      <c r="A327" s="1"/>
      <c r="B327" t="s">
        <v>350</v>
      </c>
      <c r="C327" t="s">
        <v>351</v>
      </c>
      <c r="D327" t="s">
        <v>354</v>
      </c>
      <c r="E327" s="5">
        <v>402</v>
      </c>
      <c r="F327" s="135">
        <v>99</v>
      </c>
      <c r="G327" s="24">
        <f t="shared" si="14"/>
        <v>-0.75373134328358216</v>
      </c>
    </row>
    <row r="328" spans="1:10" ht="26.25" x14ac:dyDescent="0.4">
      <c r="A328" s="1"/>
      <c r="B328" t="s">
        <v>350</v>
      </c>
      <c r="C328" t="s">
        <v>351</v>
      </c>
      <c r="D328" t="s">
        <v>355</v>
      </c>
      <c r="E328" s="5">
        <v>63</v>
      </c>
      <c r="F328" s="135">
        <v>19</v>
      </c>
      <c r="G328" s="24">
        <f t="shared" si="14"/>
        <v>-0.69841269841269837</v>
      </c>
    </row>
    <row r="329" spans="1:10" ht="26.25" x14ac:dyDescent="0.4">
      <c r="A329" s="1"/>
      <c r="B329" t="s">
        <v>350</v>
      </c>
      <c r="C329" t="s">
        <v>351</v>
      </c>
      <c r="D329" t="s">
        <v>356</v>
      </c>
      <c r="E329" s="5">
        <v>950</v>
      </c>
      <c r="F329" s="135">
        <v>1259</v>
      </c>
      <c r="G329" s="24">
        <f t="shared" si="14"/>
        <v>0.32526315789473692</v>
      </c>
    </row>
    <row r="330" spans="1:10" ht="26.25" x14ac:dyDescent="0.4">
      <c r="A330" s="1"/>
      <c r="B330" t="s">
        <v>350</v>
      </c>
      <c r="C330" t="s">
        <v>351</v>
      </c>
      <c r="D330" s="99" t="s">
        <v>357</v>
      </c>
      <c r="E330" s="5">
        <v>0</v>
      </c>
      <c r="F330" s="135">
        <v>0</v>
      </c>
      <c r="G330" s="24"/>
    </row>
    <row r="331" spans="1:10" ht="26.25" x14ac:dyDescent="0.4">
      <c r="A331" s="1"/>
      <c r="B331" t="s">
        <v>350</v>
      </c>
      <c r="C331" t="s">
        <v>351</v>
      </c>
      <c r="D331" t="s">
        <v>358</v>
      </c>
      <c r="E331" s="5">
        <v>268</v>
      </c>
      <c r="F331" s="135">
        <v>20</v>
      </c>
      <c r="G331" s="24">
        <f t="shared" si="14"/>
        <v>-0.92537313432835822</v>
      </c>
    </row>
    <row r="332" spans="1:10" ht="26.25" x14ac:dyDescent="0.4">
      <c r="A332" s="1"/>
      <c r="B332" s="8" t="s">
        <v>350</v>
      </c>
      <c r="C332" s="8" t="s">
        <v>359</v>
      </c>
      <c r="D332" s="8" t="s">
        <v>13</v>
      </c>
      <c r="E332" s="7">
        <v>9</v>
      </c>
      <c r="F332" s="135">
        <v>4</v>
      </c>
      <c r="G332" s="34">
        <f t="shared" si="14"/>
        <v>-0.55555555555555558</v>
      </c>
    </row>
    <row r="333" spans="1:10" ht="26.25" x14ac:dyDescent="0.4">
      <c r="A333" s="1"/>
      <c r="B333" s="95" t="s">
        <v>350</v>
      </c>
      <c r="C333" s="95" t="s">
        <v>351</v>
      </c>
      <c r="D333" s="95" t="s">
        <v>360</v>
      </c>
      <c r="E333" s="142">
        <f>SUM(E325:E332)</f>
        <v>6246</v>
      </c>
      <c r="F333" s="142">
        <f>SUM(F325:F332)</f>
        <v>3592</v>
      </c>
      <c r="G333" s="98">
        <f t="shared" si="14"/>
        <v>-0.42491194364393214</v>
      </c>
    </row>
    <row r="334" spans="1:10" ht="26.25" x14ac:dyDescent="0.4">
      <c r="A334" s="1"/>
      <c r="B334" t="s">
        <v>350</v>
      </c>
      <c r="C334" t="s">
        <v>361</v>
      </c>
      <c r="D334" t="s">
        <v>362</v>
      </c>
      <c r="E334" s="5">
        <v>75649</v>
      </c>
      <c r="F334" s="6">
        <f>0.8*E334</f>
        <v>60519.200000000004</v>
      </c>
      <c r="G334" s="24">
        <f t="shared" si="14"/>
        <v>-0.19999999999999996</v>
      </c>
    </row>
    <row r="335" spans="1:10" ht="26.25" x14ac:dyDescent="0.4">
      <c r="A335" s="1"/>
      <c r="B335" t="s">
        <v>350</v>
      </c>
      <c r="C335" t="s">
        <v>361</v>
      </c>
      <c r="D335" t="s">
        <v>363</v>
      </c>
      <c r="E335" s="5">
        <v>67176</v>
      </c>
      <c r="F335" s="135">
        <v>59458</v>
      </c>
      <c r="G335" s="24">
        <f t="shared" si="14"/>
        <v>-0.11489222341312377</v>
      </c>
    </row>
    <row r="336" spans="1:10" ht="26.25" x14ac:dyDescent="0.4">
      <c r="A336" s="1"/>
      <c r="B336" t="s">
        <v>350</v>
      </c>
      <c r="C336" t="s">
        <v>361</v>
      </c>
      <c r="D336" t="s">
        <v>364</v>
      </c>
      <c r="E336" s="5">
        <v>16741</v>
      </c>
      <c r="F336" s="135">
        <v>702</v>
      </c>
      <c r="G336" s="24">
        <f t="shared" si="14"/>
        <v>-0.95806702108595665</v>
      </c>
    </row>
    <row r="337" spans="1:7" ht="26.25" x14ac:dyDescent="0.4">
      <c r="A337" s="1"/>
      <c r="B337" t="s">
        <v>350</v>
      </c>
      <c r="C337" t="s">
        <v>361</v>
      </c>
      <c r="D337" t="s">
        <v>365</v>
      </c>
      <c r="E337" s="5">
        <v>39725</v>
      </c>
      <c r="F337" s="135">
        <v>36589</v>
      </c>
      <c r="G337" s="24">
        <f t="shared" si="14"/>
        <v>-7.894273127753304E-2</v>
      </c>
    </row>
    <row r="338" spans="1:7" ht="26.25" x14ac:dyDescent="0.4">
      <c r="A338" s="1"/>
      <c r="B338" t="s">
        <v>350</v>
      </c>
      <c r="C338" t="s">
        <v>361</v>
      </c>
      <c r="D338" t="s">
        <v>366</v>
      </c>
      <c r="E338" s="5">
        <v>229266</v>
      </c>
      <c r="F338" s="6">
        <f>0.84*E338</f>
        <v>192583.44</v>
      </c>
      <c r="G338" s="24">
        <f t="shared" si="14"/>
        <v>-0.16000000000000003</v>
      </c>
    </row>
    <row r="339" spans="1:7" ht="26.25" x14ac:dyDescent="0.4">
      <c r="A339" s="1"/>
      <c r="B339" t="s">
        <v>350</v>
      </c>
      <c r="C339" t="s">
        <v>361</v>
      </c>
      <c r="D339" t="s">
        <v>367</v>
      </c>
      <c r="E339" s="5">
        <v>695</v>
      </c>
      <c r="F339" s="135">
        <v>486</v>
      </c>
      <c r="G339" s="24">
        <f t="shared" si="14"/>
        <v>-0.30071942446043165</v>
      </c>
    </row>
    <row r="340" spans="1:7" ht="26.25" x14ac:dyDescent="0.4">
      <c r="A340" s="1"/>
      <c r="B340" t="s">
        <v>350</v>
      </c>
      <c r="C340" t="s">
        <v>361</v>
      </c>
      <c r="D340" t="s">
        <v>368</v>
      </c>
      <c r="E340" s="5">
        <v>147</v>
      </c>
      <c r="F340" s="135">
        <v>10</v>
      </c>
      <c r="G340" s="24">
        <f t="shared" si="14"/>
        <v>-0.93197278911564629</v>
      </c>
    </row>
    <row r="341" spans="1:7" ht="26.25" x14ac:dyDescent="0.4">
      <c r="A341" s="1"/>
      <c r="B341" t="s">
        <v>350</v>
      </c>
      <c r="C341" t="s">
        <v>361</v>
      </c>
      <c r="D341" t="s">
        <v>369</v>
      </c>
      <c r="E341" s="5">
        <v>47923</v>
      </c>
      <c r="F341" s="135">
        <v>17458</v>
      </c>
      <c r="G341" s="24">
        <f t="shared" si="14"/>
        <v>-0.63570728042902158</v>
      </c>
    </row>
    <row r="342" spans="1:7" ht="26.25" x14ac:dyDescent="0.4">
      <c r="A342" s="1"/>
      <c r="B342" t="s">
        <v>350</v>
      </c>
      <c r="C342" t="s">
        <v>361</v>
      </c>
      <c r="D342" t="s">
        <v>370</v>
      </c>
      <c r="E342" s="5">
        <v>5</v>
      </c>
      <c r="F342" s="135">
        <v>2</v>
      </c>
      <c r="G342" s="24">
        <f t="shared" si="14"/>
        <v>-0.6</v>
      </c>
    </row>
    <row r="343" spans="1:7" ht="26.25" x14ac:dyDescent="0.4">
      <c r="A343" s="1"/>
      <c r="B343" t="s">
        <v>350</v>
      </c>
      <c r="C343" t="s">
        <v>361</v>
      </c>
      <c r="D343" t="s">
        <v>371</v>
      </c>
      <c r="E343" s="5">
        <v>1</v>
      </c>
      <c r="F343" s="135">
        <v>0</v>
      </c>
      <c r="G343" s="24">
        <f t="shared" si="14"/>
        <v>-1</v>
      </c>
    </row>
    <row r="344" spans="1:7" ht="26.25" x14ac:dyDescent="0.4">
      <c r="A344" s="1"/>
      <c r="B344" t="s">
        <v>350</v>
      </c>
      <c r="C344" t="s">
        <v>361</v>
      </c>
      <c r="D344" t="s">
        <v>372</v>
      </c>
      <c r="E344" s="5">
        <v>4850</v>
      </c>
      <c r="F344" s="6">
        <f>0.6*E344</f>
        <v>2910</v>
      </c>
      <c r="G344" s="24">
        <f t="shared" si="14"/>
        <v>-0.4</v>
      </c>
    </row>
    <row r="345" spans="1:7" ht="26.25" x14ac:dyDescent="0.4">
      <c r="A345" s="1"/>
      <c r="B345" t="s">
        <v>350</v>
      </c>
      <c r="C345" t="s">
        <v>361</v>
      </c>
      <c r="D345" t="s">
        <v>373</v>
      </c>
      <c r="E345" s="5">
        <v>1614</v>
      </c>
      <c r="F345" s="135">
        <v>584</v>
      </c>
      <c r="G345" s="24">
        <f t="shared" si="14"/>
        <v>-0.63816604708798019</v>
      </c>
    </row>
    <row r="346" spans="1:7" ht="26.25" x14ac:dyDescent="0.4">
      <c r="A346" s="1"/>
      <c r="B346" s="8" t="s">
        <v>350</v>
      </c>
      <c r="C346" s="8" t="s">
        <v>374</v>
      </c>
      <c r="D346" s="8" t="s">
        <v>13</v>
      </c>
      <c r="E346" s="7">
        <v>761</v>
      </c>
      <c r="F346" s="135">
        <v>506</v>
      </c>
      <c r="G346" s="34">
        <f t="shared" si="14"/>
        <v>-0.33508541392904079</v>
      </c>
    </row>
    <row r="347" spans="1:7" ht="26.25" x14ac:dyDescent="0.4">
      <c r="A347" s="1"/>
      <c r="B347" s="95" t="s">
        <v>350</v>
      </c>
      <c r="C347" s="95" t="s">
        <v>361</v>
      </c>
      <c r="D347" s="95" t="s">
        <v>375</v>
      </c>
      <c r="E347" s="142">
        <f>SUM(E334:E346)</f>
        <v>484553</v>
      </c>
      <c r="F347" s="142">
        <f>SUM(F334:F346)</f>
        <v>371807.64</v>
      </c>
      <c r="G347" s="98">
        <f t="shared" si="14"/>
        <v>-0.23267910837410977</v>
      </c>
    </row>
    <row r="348" spans="1:7" ht="26.25" x14ac:dyDescent="0.4">
      <c r="A348" s="1"/>
      <c r="B348" s="143" t="s">
        <v>350</v>
      </c>
      <c r="C348" s="143" t="s">
        <v>22</v>
      </c>
      <c r="D348" s="143" t="s">
        <v>350</v>
      </c>
      <c r="E348" s="144">
        <f>E347+E333</f>
        <v>490799</v>
      </c>
      <c r="F348" s="144">
        <f>F347+F333</f>
        <v>375399.64</v>
      </c>
      <c r="G348" s="145">
        <f t="shared" si="14"/>
        <v>-0.23512549944070793</v>
      </c>
    </row>
    <row r="349" spans="1:7" ht="26.25" x14ac:dyDescent="0.4">
      <c r="A349" s="1"/>
      <c r="B349" s="8" t="s">
        <v>376</v>
      </c>
      <c r="C349" s="8" t="s">
        <v>377</v>
      </c>
      <c r="D349" t="s">
        <v>378</v>
      </c>
      <c r="E349" s="5">
        <v>178901</v>
      </c>
      <c r="F349" s="6">
        <f>1.15*E349</f>
        <v>205736.15</v>
      </c>
      <c r="G349" s="24">
        <f t="shared" si="14"/>
        <v>0.14999999999999991</v>
      </c>
    </row>
    <row r="350" spans="1:7" ht="26.25" x14ac:dyDescent="0.4">
      <c r="A350" s="1"/>
      <c r="B350" s="8" t="s">
        <v>376</v>
      </c>
      <c r="C350" t="s">
        <v>377</v>
      </c>
      <c r="D350" t="s">
        <v>379</v>
      </c>
      <c r="E350" s="5">
        <v>212829</v>
      </c>
      <c r="F350" s="6">
        <v>227845</v>
      </c>
      <c r="G350" s="24">
        <f t="shared" si="14"/>
        <v>7.0554294762461778E-2</v>
      </c>
    </row>
    <row r="351" spans="1:7" ht="26.25" x14ac:dyDescent="0.4">
      <c r="A351" s="1"/>
      <c r="B351" s="8" t="s">
        <v>376</v>
      </c>
      <c r="C351" t="s">
        <v>377</v>
      </c>
      <c r="D351" t="s">
        <v>380</v>
      </c>
      <c r="E351" s="5">
        <v>58978</v>
      </c>
      <c r="F351" s="6">
        <v>63258</v>
      </c>
      <c r="G351" s="24">
        <f t="shared" si="14"/>
        <v>7.2569432669808975E-2</v>
      </c>
    </row>
    <row r="352" spans="1:7" ht="26.25" x14ac:dyDescent="0.4">
      <c r="A352" s="1"/>
      <c r="B352" s="8" t="s">
        <v>376</v>
      </c>
      <c r="C352" t="s">
        <v>377</v>
      </c>
      <c r="D352" t="s">
        <v>381</v>
      </c>
      <c r="E352" s="5">
        <v>29883</v>
      </c>
      <c r="F352" s="6">
        <v>27859</v>
      </c>
      <c r="G352" s="24">
        <f t="shared" si="14"/>
        <v>-6.7730816852391018E-2</v>
      </c>
    </row>
    <row r="353" spans="1:7" ht="26.25" x14ac:dyDescent="0.4">
      <c r="A353" s="1"/>
      <c r="B353" s="8" t="s">
        <v>376</v>
      </c>
      <c r="C353" t="s">
        <v>377</v>
      </c>
      <c r="D353" t="s">
        <v>382</v>
      </c>
      <c r="E353" s="5">
        <v>38544</v>
      </c>
      <c r="F353" s="6">
        <v>39845</v>
      </c>
      <c r="G353" s="24">
        <f t="shared" si="14"/>
        <v>3.3753632212536244E-2</v>
      </c>
    </row>
    <row r="354" spans="1:7" ht="26.25" x14ac:dyDescent="0.4">
      <c r="A354" s="1"/>
      <c r="B354" s="8" t="s">
        <v>376</v>
      </c>
      <c r="C354" s="8" t="s">
        <v>383</v>
      </c>
      <c r="D354" s="8" t="s">
        <v>13</v>
      </c>
      <c r="E354" s="7">
        <v>6</v>
      </c>
      <c r="F354" s="9">
        <v>10</v>
      </c>
      <c r="G354" s="34">
        <f t="shared" si="14"/>
        <v>0.66666666666666674</v>
      </c>
    </row>
    <row r="355" spans="1:7" ht="26.25" x14ac:dyDescent="0.4">
      <c r="A355" s="1"/>
      <c r="B355" s="143" t="s">
        <v>376</v>
      </c>
      <c r="C355" s="143" t="s">
        <v>377</v>
      </c>
      <c r="D355" s="143" t="s">
        <v>384</v>
      </c>
      <c r="E355" s="146">
        <f>SUM(E349:E354)</f>
        <v>519141</v>
      </c>
      <c r="F355" s="146">
        <f>SUM(F349:F354)</f>
        <v>564553.15</v>
      </c>
      <c r="G355" s="145">
        <f t="shared" si="14"/>
        <v>8.7475560589512336E-2</v>
      </c>
    </row>
    <row r="356" spans="1:7" ht="26.25" x14ac:dyDescent="0.4">
      <c r="A356" s="1"/>
      <c r="B356" s="8" t="s">
        <v>376</v>
      </c>
      <c r="C356" t="s">
        <v>385</v>
      </c>
      <c r="D356" s="8" t="s">
        <v>386</v>
      </c>
      <c r="E356" s="7">
        <v>1600</v>
      </c>
      <c r="F356" s="9">
        <v>5000</v>
      </c>
      <c r="G356" s="24">
        <f t="shared" si="14"/>
        <v>2.125</v>
      </c>
    </row>
    <row r="357" spans="1:7" ht="26.25" x14ac:dyDescent="0.4">
      <c r="A357" s="1"/>
      <c r="B357" s="8" t="s">
        <v>376</v>
      </c>
      <c r="C357" t="s">
        <v>385</v>
      </c>
      <c r="D357" t="s">
        <v>387</v>
      </c>
      <c r="E357" s="5">
        <v>86526</v>
      </c>
      <c r="F357" s="9">
        <v>75148</v>
      </c>
      <c r="G357" s="24">
        <f t="shared" si="14"/>
        <v>-0.13149804682985466</v>
      </c>
    </row>
    <row r="358" spans="1:7" ht="26.25" x14ac:dyDescent="0.4">
      <c r="A358" s="1"/>
      <c r="B358" s="8" t="s">
        <v>376</v>
      </c>
      <c r="C358" t="s">
        <v>385</v>
      </c>
      <c r="D358" t="s">
        <v>388</v>
      </c>
      <c r="E358" s="5">
        <v>328536</v>
      </c>
      <c r="F358" s="9">
        <v>305843</v>
      </c>
      <c r="G358" s="24">
        <f t="shared" si="14"/>
        <v>-6.9073100056006087E-2</v>
      </c>
    </row>
    <row r="359" spans="1:7" ht="26.25" x14ac:dyDescent="0.4">
      <c r="A359" s="1"/>
      <c r="B359" s="8" t="s">
        <v>376</v>
      </c>
      <c r="C359" t="s">
        <v>385</v>
      </c>
      <c r="D359" t="s">
        <v>389</v>
      </c>
      <c r="E359" s="5">
        <v>37994</v>
      </c>
      <c r="F359" s="6">
        <f>1.47*E359</f>
        <v>55851.18</v>
      </c>
      <c r="G359" s="24">
        <f t="shared" si="14"/>
        <v>0.47</v>
      </c>
    </row>
    <row r="360" spans="1:7" ht="26.25" x14ac:dyDescent="0.4">
      <c r="A360" s="1"/>
      <c r="B360" s="8" t="s">
        <v>376</v>
      </c>
      <c r="C360" t="s">
        <v>385</v>
      </c>
      <c r="D360" t="s">
        <v>390</v>
      </c>
      <c r="E360" s="5">
        <v>135658</v>
      </c>
      <c r="F360" s="9">
        <v>112589</v>
      </c>
      <c r="G360" s="24">
        <f t="shared" si="14"/>
        <v>-0.17005263235489243</v>
      </c>
    </row>
    <row r="361" spans="1:7" ht="26.25" x14ac:dyDescent="0.4">
      <c r="A361" s="1"/>
      <c r="B361" s="8" t="s">
        <v>376</v>
      </c>
      <c r="C361" t="s">
        <v>385</v>
      </c>
      <c r="D361" t="s">
        <v>391</v>
      </c>
      <c r="E361" s="5">
        <v>0</v>
      </c>
      <c r="F361" s="6"/>
      <c r="G361" s="24"/>
    </row>
    <row r="362" spans="1:7" ht="26.25" x14ac:dyDescent="0.4">
      <c r="A362" s="1"/>
      <c r="B362" s="8" t="s">
        <v>376</v>
      </c>
      <c r="C362" t="s">
        <v>385</v>
      </c>
      <c r="D362" t="s">
        <v>392</v>
      </c>
      <c r="E362" s="5">
        <v>3</v>
      </c>
      <c r="F362" s="6"/>
      <c r="G362" s="24">
        <f t="shared" si="14"/>
        <v>-1</v>
      </c>
    </row>
    <row r="363" spans="1:7" ht="26.25" x14ac:dyDescent="0.4">
      <c r="A363" s="1"/>
      <c r="B363" s="8" t="s">
        <v>376</v>
      </c>
      <c r="C363" t="s">
        <v>385</v>
      </c>
      <c r="D363" t="s">
        <v>393</v>
      </c>
      <c r="E363" s="5">
        <v>19509</v>
      </c>
      <c r="F363" s="6">
        <v>13486</v>
      </c>
      <c r="G363" s="24">
        <f t="shared" si="14"/>
        <v>-0.30872930442359936</v>
      </c>
    </row>
    <row r="364" spans="1:7" ht="26.25" x14ac:dyDescent="0.4">
      <c r="A364" s="1"/>
      <c r="B364" s="8" t="s">
        <v>376</v>
      </c>
      <c r="C364" t="s">
        <v>385</v>
      </c>
      <c r="D364" t="s">
        <v>394</v>
      </c>
      <c r="E364" s="5">
        <v>91413</v>
      </c>
      <c r="F364" s="6">
        <v>75879</v>
      </c>
      <c r="G364" s="24">
        <f t="shared" si="14"/>
        <v>-0.16993206655508519</v>
      </c>
    </row>
    <row r="365" spans="1:7" ht="26.25" x14ac:dyDescent="0.4">
      <c r="A365" s="1"/>
      <c r="B365" s="8" t="s">
        <v>376</v>
      </c>
      <c r="C365" t="s">
        <v>385</v>
      </c>
      <c r="D365" t="s">
        <v>395</v>
      </c>
      <c r="E365" s="5">
        <v>11973</v>
      </c>
      <c r="F365" s="6">
        <v>8749</v>
      </c>
      <c r="G365" s="24">
        <f t="shared" si="14"/>
        <v>-0.26927252985884909</v>
      </c>
    </row>
    <row r="366" spans="1:7" ht="26.25" x14ac:dyDescent="0.4">
      <c r="A366" s="1"/>
      <c r="B366" s="8" t="s">
        <v>376</v>
      </c>
      <c r="C366" t="s">
        <v>385</v>
      </c>
      <c r="D366" t="s">
        <v>396</v>
      </c>
      <c r="E366" s="5">
        <v>209922</v>
      </c>
      <c r="F366" s="6">
        <v>210569</v>
      </c>
      <c r="G366" s="24">
        <f t="shared" si="14"/>
        <v>3.08209715989749E-3</v>
      </c>
    </row>
    <row r="367" spans="1:7" ht="26.25" x14ac:dyDescent="0.4">
      <c r="A367" s="1"/>
      <c r="B367" s="8" t="s">
        <v>376</v>
      </c>
      <c r="C367" t="s">
        <v>385</v>
      </c>
      <c r="D367" t="s">
        <v>397</v>
      </c>
      <c r="E367" s="5">
        <v>100620</v>
      </c>
      <c r="F367" s="6">
        <v>96452</v>
      </c>
      <c r="G367" s="24">
        <f t="shared" si="14"/>
        <v>-4.1423176306897291E-2</v>
      </c>
    </row>
    <row r="368" spans="1:7" ht="26.25" x14ac:dyDescent="0.4">
      <c r="A368" s="1"/>
      <c r="B368" s="8" t="s">
        <v>376</v>
      </c>
      <c r="C368" t="s">
        <v>385</v>
      </c>
      <c r="D368" t="s">
        <v>398</v>
      </c>
      <c r="E368" s="5">
        <v>18848</v>
      </c>
      <c r="F368" s="6">
        <v>9475</v>
      </c>
      <c r="G368" s="24">
        <f t="shared" si="14"/>
        <v>-0.49729414261460103</v>
      </c>
    </row>
    <row r="369" spans="1:7" ht="26.25" x14ac:dyDescent="0.4">
      <c r="A369" s="1"/>
      <c r="B369" s="8" t="s">
        <v>376</v>
      </c>
      <c r="C369" t="s">
        <v>385</v>
      </c>
      <c r="D369" t="s">
        <v>399</v>
      </c>
      <c r="E369" s="5">
        <v>20394</v>
      </c>
      <c r="F369" s="6">
        <f>E369*0.38</f>
        <v>7749.72</v>
      </c>
      <c r="G369" s="24">
        <f t="shared" si="14"/>
        <v>-0.62</v>
      </c>
    </row>
    <row r="370" spans="1:7" ht="26.25" x14ac:dyDescent="0.4">
      <c r="A370" s="1"/>
      <c r="B370" s="8" t="s">
        <v>376</v>
      </c>
      <c r="C370" s="8" t="s">
        <v>385</v>
      </c>
      <c r="D370" s="8" t="s">
        <v>400</v>
      </c>
      <c r="E370" s="7">
        <v>16302</v>
      </c>
      <c r="F370" s="9">
        <v>9845</v>
      </c>
      <c r="G370" s="34">
        <f t="shared" si="14"/>
        <v>-0.39608636977058032</v>
      </c>
    </row>
    <row r="371" spans="1:7" ht="26.25" x14ac:dyDescent="0.4">
      <c r="A371" s="1"/>
      <c r="B371" s="8" t="s">
        <v>376</v>
      </c>
      <c r="C371" s="8" t="s">
        <v>401</v>
      </c>
      <c r="D371" s="8" t="s">
        <v>13</v>
      </c>
      <c r="E371" s="7">
        <v>4058</v>
      </c>
      <c r="F371" s="9">
        <v>3902</v>
      </c>
      <c r="G371" s="34">
        <f t="shared" si="14"/>
        <v>-3.8442582552981719E-2</v>
      </c>
    </row>
    <row r="372" spans="1:7" ht="26.25" x14ac:dyDescent="0.4">
      <c r="A372" s="1"/>
      <c r="B372" s="143" t="s">
        <v>376</v>
      </c>
      <c r="C372" s="143" t="s">
        <v>385</v>
      </c>
      <c r="D372" s="143" t="s">
        <v>402</v>
      </c>
      <c r="E372" s="144">
        <f>SUM(E356:E371)</f>
        <v>1083356</v>
      </c>
      <c r="F372" s="144">
        <f>SUM(F356:F371)</f>
        <v>990537.89999999991</v>
      </c>
      <c r="G372" s="145">
        <f t="shared" si="14"/>
        <v>-8.5676453538818365E-2</v>
      </c>
    </row>
    <row r="373" spans="1:7" ht="26.25" x14ac:dyDescent="0.4">
      <c r="A373" s="1"/>
      <c r="B373" s="147" t="s">
        <v>376</v>
      </c>
      <c r="C373" s="147" t="s">
        <v>22</v>
      </c>
      <c r="D373" s="147" t="s">
        <v>403</v>
      </c>
      <c r="E373" s="148">
        <f>E372+E355</f>
        <v>1602497</v>
      </c>
      <c r="F373" s="148">
        <f>F372+F355</f>
        <v>1555091.0499999998</v>
      </c>
      <c r="G373" s="149">
        <f t="shared" si="14"/>
        <v>-2.9582551480595742E-2</v>
      </c>
    </row>
    <row r="374" spans="1:7" ht="26.25" x14ac:dyDescent="0.4">
      <c r="A374" s="1">
        <v>19</v>
      </c>
      <c r="B374" s="109" t="s">
        <v>404</v>
      </c>
      <c r="C374" s="109" t="s">
        <v>22</v>
      </c>
      <c r="D374" s="109" t="s">
        <v>404</v>
      </c>
      <c r="E374" s="150">
        <f>E373+E348</f>
        <v>2093296</v>
      </c>
      <c r="F374" s="150">
        <f>F373+F348</f>
        <v>1930490.69</v>
      </c>
      <c r="G374" s="151">
        <f t="shared" si="14"/>
        <v>-7.7774624324510322E-2</v>
      </c>
    </row>
    <row r="375" spans="1:7" ht="26.25" x14ac:dyDescent="0.4">
      <c r="A375" s="1"/>
      <c r="B375" t="s">
        <v>405</v>
      </c>
      <c r="C375" s="8" t="s">
        <v>406</v>
      </c>
      <c r="D375" t="s">
        <v>407</v>
      </c>
      <c r="E375" s="5">
        <v>2692</v>
      </c>
      <c r="F375" s="6">
        <v>3800</v>
      </c>
      <c r="G375" s="24">
        <f t="shared" si="14"/>
        <v>0.41158989598811302</v>
      </c>
    </row>
    <row r="376" spans="1:7" ht="26.25" x14ac:dyDescent="0.4">
      <c r="A376" s="1"/>
      <c r="B376" t="s">
        <v>405</v>
      </c>
      <c r="C376" s="8" t="s">
        <v>406</v>
      </c>
      <c r="D376" t="s">
        <v>408</v>
      </c>
      <c r="E376" s="5">
        <v>981</v>
      </c>
      <c r="F376" s="6">
        <v>523</v>
      </c>
      <c r="G376" s="24">
        <f t="shared" si="14"/>
        <v>-0.46687054026503572</v>
      </c>
    </row>
    <row r="377" spans="1:7" ht="26.25" x14ac:dyDescent="0.4">
      <c r="A377" s="1"/>
      <c r="B377" t="s">
        <v>405</v>
      </c>
      <c r="C377" s="8" t="s">
        <v>406</v>
      </c>
      <c r="D377" t="s">
        <v>409</v>
      </c>
      <c r="E377" s="5">
        <v>5376</v>
      </c>
      <c r="F377" s="6">
        <v>8745</v>
      </c>
      <c r="G377" s="24">
        <f t="shared" si="14"/>
        <v>0.62667410714285721</v>
      </c>
    </row>
    <row r="378" spans="1:7" ht="26.25" x14ac:dyDescent="0.4">
      <c r="A378" s="1"/>
      <c r="B378" s="8" t="s">
        <v>405</v>
      </c>
      <c r="C378" s="8" t="s">
        <v>410</v>
      </c>
      <c r="D378" s="8" t="s">
        <v>13</v>
      </c>
      <c r="E378" s="7">
        <v>1</v>
      </c>
      <c r="F378" s="9"/>
      <c r="G378" s="34">
        <f t="shared" si="14"/>
        <v>-1</v>
      </c>
    </row>
    <row r="379" spans="1:7" ht="26.25" x14ac:dyDescent="0.4">
      <c r="A379" s="1">
        <v>20</v>
      </c>
      <c r="B379" s="152" t="s">
        <v>405</v>
      </c>
      <c r="C379" s="152" t="s">
        <v>406</v>
      </c>
      <c r="D379" s="152" t="s">
        <v>411</v>
      </c>
      <c r="E379" s="153">
        <f>SUM(E375:E378)</f>
        <v>9050</v>
      </c>
      <c r="F379" s="153">
        <f>SUM(F375:F378)</f>
        <v>13068</v>
      </c>
      <c r="G379" s="154">
        <f t="shared" si="14"/>
        <v>0.4439779005524862</v>
      </c>
    </row>
    <row r="380" spans="1:7" ht="26.25" x14ac:dyDescent="0.4">
      <c r="A380" s="1"/>
      <c r="B380" s="8" t="s">
        <v>412</v>
      </c>
      <c r="C380" s="8" t="s">
        <v>412</v>
      </c>
      <c r="D380" s="8" t="s">
        <v>413</v>
      </c>
      <c r="E380" s="7">
        <v>2162</v>
      </c>
      <c r="F380" s="9">
        <v>1845</v>
      </c>
      <c r="G380" s="34">
        <f t="shared" si="14"/>
        <v>-0.14662349676225717</v>
      </c>
    </row>
    <row r="381" spans="1:7" ht="26.25" x14ac:dyDescent="0.4">
      <c r="A381" s="1"/>
      <c r="B381" s="8" t="s">
        <v>412</v>
      </c>
      <c r="C381" s="8" t="s">
        <v>412</v>
      </c>
      <c r="D381" s="8" t="s">
        <v>414</v>
      </c>
      <c r="E381" s="7">
        <v>15014</v>
      </c>
      <c r="F381" s="9">
        <v>11001</v>
      </c>
      <c r="G381" s="34">
        <f t="shared" ref="G381:G444" si="15">F381/E381-1</f>
        <v>-0.26728386838950313</v>
      </c>
    </row>
    <row r="382" spans="1:7" ht="26.25" x14ac:dyDescent="0.4">
      <c r="A382" s="1"/>
      <c r="B382" s="8" t="s">
        <v>412</v>
      </c>
      <c r="C382" s="8" t="s">
        <v>412</v>
      </c>
      <c r="D382" s="8" t="s">
        <v>415</v>
      </c>
      <c r="E382" s="7">
        <v>7471</v>
      </c>
      <c r="F382" s="9">
        <v>5098</v>
      </c>
      <c r="G382" s="34">
        <f t="shared" si="15"/>
        <v>-0.31762816222727885</v>
      </c>
    </row>
    <row r="383" spans="1:7" ht="26.25" x14ac:dyDescent="0.4">
      <c r="A383" s="1"/>
      <c r="B383" s="8" t="s">
        <v>412</v>
      </c>
      <c r="C383" s="8" t="s">
        <v>412</v>
      </c>
      <c r="D383" s="8" t="s">
        <v>416</v>
      </c>
      <c r="E383" s="7">
        <v>10110</v>
      </c>
      <c r="F383" s="9">
        <v>7520</v>
      </c>
      <c r="G383" s="34">
        <f t="shared" si="15"/>
        <v>-0.25618199802176067</v>
      </c>
    </row>
    <row r="384" spans="1:7" ht="26.25" x14ac:dyDescent="0.4">
      <c r="A384" s="1"/>
      <c r="B384" s="8" t="s">
        <v>412</v>
      </c>
      <c r="C384" s="8" t="s">
        <v>412</v>
      </c>
      <c r="D384" s="8" t="s">
        <v>417</v>
      </c>
      <c r="E384" s="7">
        <v>466</v>
      </c>
      <c r="F384" s="9">
        <v>450</v>
      </c>
      <c r="G384" s="34">
        <f t="shared" si="15"/>
        <v>-3.4334763948497882E-2</v>
      </c>
    </row>
    <row r="385" spans="1:7" ht="26.25" x14ac:dyDescent="0.4">
      <c r="A385" s="1"/>
      <c r="B385" s="8" t="s">
        <v>412</v>
      </c>
      <c r="C385" s="8" t="s">
        <v>412</v>
      </c>
      <c r="D385" s="8" t="s">
        <v>418</v>
      </c>
      <c r="E385" s="7">
        <v>1725</v>
      </c>
      <c r="F385" s="9">
        <v>853</v>
      </c>
      <c r="G385" s="34">
        <f t="shared" si="15"/>
        <v>-0.50550724637681155</v>
      </c>
    </row>
    <row r="386" spans="1:7" ht="26.25" x14ac:dyDescent="0.4">
      <c r="A386" s="1"/>
      <c r="B386" s="8" t="s">
        <v>412</v>
      </c>
      <c r="C386" s="8" t="s">
        <v>419</v>
      </c>
      <c r="D386" s="8" t="s">
        <v>13</v>
      </c>
      <c r="E386" s="7">
        <v>109</v>
      </c>
      <c r="F386" s="9">
        <v>77</v>
      </c>
      <c r="G386" s="34">
        <f t="shared" si="15"/>
        <v>-0.29357798165137616</v>
      </c>
    </row>
    <row r="387" spans="1:7" ht="26.25" x14ac:dyDescent="0.4">
      <c r="A387" s="1">
        <v>21</v>
      </c>
      <c r="B387" s="155" t="s">
        <v>412</v>
      </c>
      <c r="C387" s="155" t="s">
        <v>412</v>
      </c>
      <c r="D387" s="155" t="s">
        <v>412</v>
      </c>
      <c r="E387" s="156">
        <f>SUM(E380:E386)</f>
        <v>37057</v>
      </c>
      <c r="F387" s="156">
        <f>SUM(F380:F386)</f>
        <v>26844</v>
      </c>
      <c r="G387" s="157">
        <f t="shared" si="15"/>
        <v>-0.27560245027929942</v>
      </c>
    </row>
    <row r="388" spans="1:7" ht="26.25" x14ac:dyDescent="0.4">
      <c r="A388" s="1"/>
      <c r="B388" s="8" t="s">
        <v>420</v>
      </c>
      <c r="C388" s="8" t="s">
        <v>420</v>
      </c>
      <c r="D388" s="158" t="s">
        <v>421</v>
      </c>
      <c r="E388" s="7">
        <v>0</v>
      </c>
      <c r="F388" s="9">
        <v>0</v>
      </c>
      <c r="G388" s="34"/>
    </row>
    <row r="389" spans="1:7" ht="26.25" x14ac:dyDescent="0.4">
      <c r="A389" s="1"/>
      <c r="B389" t="s">
        <v>420</v>
      </c>
      <c r="C389" t="s">
        <v>420</v>
      </c>
      <c r="D389" t="s">
        <v>422</v>
      </c>
      <c r="E389" s="5">
        <v>20781</v>
      </c>
      <c r="F389" s="9">
        <v>13456</v>
      </c>
      <c r="G389" s="24">
        <f t="shared" si="15"/>
        <v>-0.35248544343390598</v>
      </c>
    </row>
    <row r="390" spans="1:7" ht="26.25" x14ac:dyDescent="0.4">
      <c r="A390" s="1"/>
      <c r="B390" t="s">
        <v>420</v>
      </c>
      <c r="C390" t="s">
        <v>420</v>
      </c>
      <c r="D390" t="s">
        <v>423</v>
      </c>
      <c r="E390" s="5">
        <v>54266</v>
      </c>
      <c r="F390" s="9">
        <v>60589</v>
      </c>
      <c r="G390" s="24">
        <f t="shared" si="15"/>
        <v>0.11651863045000543</v>
      </c>
    </row>
    <row r="391" spans="1:7" ht="26.25" x14ac:dyDescent="0.4">
      <c r="A391" s="1"/>
      <c r="B391" t="s">
        <v>420</v>
      </c>
      <c r="C391" t="s">
        <v>420</v>
      </c>
      <c r="D391" t="s">
        <v>424</v>
      </c>
      <c r="E391" s="5">
        <v>15268</v>
      </c>
      <c r="F391" s="9">
        <v>16230</v>
      </c>
      <c r="G391" s="24">
        <f t="shared" si="15"/>
        <v>6.300759758973018E-2</v>
      </c>
    </row>
    <row r="392" spans="1:7" ht="26.25" x14ac:dyDescent="0.4">
      <c r="A392" s="1"/>
      <c r="B392" t="s">
        <v>420</v>
      </c>
      <c r="C392" t="s">
        <v>420</v>
      </c>
      <c r="D392" t="s">
        <v>425</v>
      </c>
      <c r="E392" s="5">
        <v>0</v>
      </c>
      <c r="G392" s="24"/>
    </row>
    <row r="393" spans="1:7" ht="26.25" x14ac:dyDescent="0.4">
      <c r="A393" s="1"/>
      <c r="B393" t="s">
        <v>420</v>
      </c>
      <c r="C393" t="s">
        <v>420</v>
      </c>
      <c r="D393" t="s">
        <v>426</v>
      </c>
      <c r="E393" s="5">
        <v>9579</v>
      </c>
      <c r="F393" s="9">
        <v>15879</v>
      </c>
      <c r="G393" s="24">
        <f t="shared" si="15"/>
        <v>0.65768869401816477</v>
      </c>
    </row>
    <row r="394" spans="1:7" ht="26.25" x14ac:dyDescent="0.4">
      <c r="A394" s="1"/>
      <c r="B394" t="s">
        <v>420</v>
      </c>
      <c r="C394" t="s">
        <v>420</v>
      </c>
      <c r="D394" t="s">
        <v>427</v>
      </c>
      <c r="E394" s="5">
        <v>43335</v>
      </c>
      <c r="F394" s="9">
        <v>39056</v>
      </c>
      <c r="G394" s="24">
        <f t="shared" si="15"/>
        <v>-9.8742356063228343E-2</v>
      </c>
    </row>
    <row r="395" spans="1:7" ht="26.25" x14ac:dyDescent="0.4">
      <c r="A395" s="1"/>
      <c r="B395" t="s">
        <v>420</v>
      </c>
      <c r="C395" t="s">
        <v>420</v>
      </c>
      <c r="D395" t="s">
        <v>428</v>
      </c>
      <c r="E395" s="5">
        <v>9</v>
      </c>
      <c r="F395" s="9">
        <v>3</v>
      </c>
      <c r="G395" s="24">
        <f t="shared" si="15"/>
        <v>-0.66666666666666674</v>
      </c>
    </row>
    <row r="396" spans="1:7" ht="26.25" x14ac:dyDescent="0.4">
      <c r="A396" s="1"/>
      <c r="B396" t="s">
        <v>420</v>
      </c>
      <c r="C396" t="s">
        <v>420</v>
      </c>
      <c r="D396" t="s">
        <v>429</v>
      </c>
      <c r="E396" s="5">
        <v>65842</v>
      </c>
      <c r="F396" s="9">
        <v>65458</v>
      </c>
      <c r="G396" s="24">
        <f t="shared" si="15"/>
        <v>-5.8321436165366114E-3</v>
      </c>
    </row>
    <row r="397" spans="1:7" ht="26.25" x14ac:dyDescent="0.4">
      <c r="A397" s="1"/>
      <c r="B397" t="s">
        <v>420</v>
      </c>
      <c r="C397" t="s">
        <v>420</v>
      </c>
      <c r="D397" t="s">
        <v>430</v>
      </c>
      <c r="E397" s="5">
        <v>30495</v>
      </c>
      <c r="F397" s="9">
        <v>28986</v>
      </c>
      <c r="G397" s="24">
        <f t="shared" si="15"/>
        <v>-4.9483521888834203E-2</v>
      </c>
    </row>
    <row r="398" spans="1:7" ht="26.25" x14ac:dyDescent="0.4">
      <c r="A398" s="1"/>
      <c r="B398" s="8" t="s">
        <v>420</v>
      </c>
      <c r="C398" s="8" t="s">
        <v>431</v>
      </c>
      <c r="D398" s="8" t="s">
        <v>13</v>
      </c>
      <c r="E398" s="7">
        <v>56</v>
      </c>
      <c r="F398" s="9">
        <v>102</v>
      </c>
      <c r="G398" s="34">
        <f t="shared" si="15"/>
        <v>0.8214285714285714</v>
      </c>
    </row>
    <row r="399" spans="1:7" ht="26.25" x14ac:dyDescent="0.4">
      <c r="A399" s="1">
        <v>22</v>
      </c>
      <c r="B399" s="159" t="s">
        <v>420</v>
      </c>
      <c r="C399" s="159" t="s">
        <v>22</v>
      </c>
      <c r="D399" s="159" t="s">
        <v>420</v>
      </c>
      <c r="E399" s="160">
        <f>SUM(E388:E398)</f>
        <v>239631</v>
      </c>
      <c r="F399" s="160">
        <f>SUM(F388:F398)</f>
        <v>239759</v>
      </c>
      <c r="G399" s="161">
        <f t="shared" si="15"/>
        <v>5.3415459602468296E-4</v>
      </c>
    </row>
    <row r="400" spans="1:7" ht="26.25" x14ac:dyDescent="0.4">
      <c r="A400" s="1"/>
      <c r="B400" t="s">
        <v>432</v>
      </c>
      <c r="C400" t="s">
        <v>433</v>
      </c>
      <c r="D400" t="s">
        <v>434</v>
      </c>
      <c r="E400" s="5">
        <v>10957</v>
      </c>
      <c r="F400" s="9">
        <v>9021</v>
      </c>
      <c r="G400" s="24">
        <f t="shared" si="15"/>
        <v>-0.17669070000912657</v>
      </c>
    </row>
    <row r="401" spans="1:7" ht="26.25" x14ac:dyDescent="0.4">
      <c r="A401" s="1"/>
      <c r="B401" t="s">
        <v>432</v>
      </c>
      <c r="C401" t="s">
        <v>433</v>
      </c>
      <c r="D401" t="s">
        <v>435</v>
      </c>
      <c r="E401" s="5">
        <v>10505</v>
      </c>
      <c r="F401" s="9">
        <v>8175</v>
      </c>
      <c r="G401" s="24">
        <f t="shared" si="15"/>
        <v>-0.22179914326511185</v>
      </c>
    </row>
    <row r="402" spans="1:7" ht="26.25" x14ac:dyDescent="0.4">
      <c r="A402" s="1"/>
      <c r="B402" t="s">
        <v>432</v>
      </c>
      <c r="C402" t="s">
        <v>433</v>
      </c>
      <c r="D402" t="s">
        <v>436</v>
      </c>
      <c r="E402" s="5">
        <v>1107</v>
      </c>
      <c r="F402" s="9">
        <v>700</v>
      </c>
      <c r="G402" s="24">
        <f t="shared" si="15"/>
        <v>-0.36766034327009933</v>
      </c>
    </row>
    <row r="403" spans="1:7" ht="26.25" x14ac:dyDescent="0.4">
      <c r="A403" s="1"/>
      <c r="B403" t="s">
        <v>432</v>
      </c>
      <c r="C403" t="s">
        <v>433</v>
      </c>
      <c r="D403" t="s">
        <v>437</v>
      </c>
      <c r="E403" s="5">
        <v>4221</v>
      </c>
      <c r="F403" s="9">
        <v>3701</v>
      </c>
      <c r="G403" s="24">
        <f t="shared" si="15"/>
        <v>-0.12319355602937687</v>
      </c>
    </row>
    <row r="404" spans="1:7" ht="26.25" x14ac:dyDescent="0.4">
      <c r="A404" s="1"/>
      <c r="B404" t="s">
        <v>432</v>
      </c>
      <c r="C404" t="s">
        <v>433</v>
      </c>
      <c r="D404" t="s">
        <v>438</v>
      </c>
      <c r="E404" s="5">
        <v>27252</v>
      </c>
      <c r="F404" s="9">
        <v>28945</v>
      </c>
      <c r="G404" s="24">
        <f t="shared" si="15"/>
        <v>6.2123880816086885E-2</v>
      </c>
    </row>
    <row r="405" spans="1:7" ht="26.25" x14ac:dyDescent="0.4">
      <c r="A405" s="1"/>
      <c r="B405" t="s">
        <v>432</v>
      </c>
      <c r="C405" t="s">
        <v>433</v>
      </c>
      <c r="D405" t="s">
        <v>439</v>
      </c>
      <c r="E405" s="5">
        <v>23439</v>
      </c>
      <c r="F405" s="9">
        <v>19586</v>
      </c>
      <c r="G405" s="24">
        <f t="shared" si="15"/>
        <v>-0.16438414608131746</v>
      </c>
    </row>
    <row r="406" spans="1:7" ht="26.25" x14ac:dyDescent="0.4">
      <c r="A406" s="1"/>
      <c r="B406" t="s">
        <v>432</v>
      </c>
      <c r="C406" t="s">
        <v>433</v>
      </c>
      <c r="D406" t="s">
        <v>440</v>
      </c>
      <c r="E406" s="5">
        <v>6328</v>
      </c>
      <c r="F406" s="9">
        <v>12358</v>
      </c>
      <c r="G406" s="24">
        <f t="shared" si="15"/>
        <v>0.95290771175726929</v>
      </c>
    </row>
    <row r="407" spans="1:7" ht="26.25" x14ac:dyDescent="0.4">
      <c r="A407" s="1"/>
      <c r="B407" t="s">
        <v>432</v>
      </c>
      <c r="C407" t="s">
        <v>433</v>
      </c>
      <c r="D407" t="s">
        <v>441</v>
      </c>
      <c r="E407" s="5">
        <v>1</v>
      </c>
      <c r="F407" s="9">
        <v>0</v>
      </c>
      <c r="G407" s="24">
        <f t="shared" si="15"/>
        <v>-1</v>
      </c>
    </row>
    <row r="408" spans="1:7" ht="26.25" x14ac:dyDescent="0.4">
      <c r="A408" s="1"/>
      <c r="B408" s="8" t="s">
        <v>432</v>
      </c>
      <c r="C408" s="8" t="s">
        <v>442</v>
      </c>
      <c r="D408" s="8" t="s">
        <v>13</v>
      </c>
      <c r="E408" s="7">
        <v>110</v>
      </c>
      <c r="F408" s="9">
        <v>109</v>
      </c>
      <c r="G408" s="34">
        <f t="shared" si="15"/>
        <v>-9.0909090909090384E-3</v>
      </c>
    </row>
    <row r="409" spans="1:7" ht="26.25" x14ac:dyDescent="0.4">
      <c r="A409" s="1"/>
      <c r="B409" s="162" t="s">
        <v>432</v>
      </c>
      <c r="C409" s="162" t="s">
        <v>433</v>
      </c>
      <c r="D409" s="162" t="s">
        <v>443</v>
      </c>
      <c r="E409" s="163">
        <f>SUM(E400:E408)</f>
        <v>83920</v>
      </c>
      <c r="F409" s="163">
        <f>SUM(F400:F408)</f>
        <v>82595</v>
      </c>
      <c r="G409" s="79">
        <f t="shared" si="15"/>
        <v>-1.5788846520495725E-2</v>
      </c>
    </row>
    <row r="410" spans="1:7" ht="26.25" x14ac:dyDescent="0.4">
      <c r="A410" s="1"/>
      <c r="B410" t="s">
        <v>432</v>
      </c>
      <c r="C410" t="s">
        <v>444</v>
      </c>
      <c r="D410" t="s">
        <v>445</v>
      </c>
      <c r="E410" s="5">
        <v>1</v>
      </c>
      <c r="F410" s="9">
        <v>1200</v>
      </c>
      <c r="G410" s="24"/>
    </row>
    <row r="411" spans="1:7" ht="26.25" x14ac:dyDescent="0.4">
      <c r="A411" s="1"/>
      <c r="B411" t="s">
        <v>432</v>
      </c>
      <c r="C411" t="s">
        <v>444</v>
      </c>
      <c r="D411" t="s">
        <v>446</v>
      </c>
      <c r="E411" s="5">
        <v>3</v>
      </c>
      <c r="F411" s="9">
        <v>1</v>
      </c>
      <c r="G411" s="24">
        <f t="shared" si="15"/>
        <v>-0.66666666666666674</v>
      </c>
    </row>
    <row r="412" spans="1:7" ht="26.25" x14ac:dyDescent="0.4">
      <c r="A412" s="1"/>
      <c r="B412" t="s">
        <v>432</v>
      </c>
      <c r="C412" t="s">
        <v>444</v>
      </c>
      <c r="D412" t="s">
        <v>447</v>
      </c>
      <c r="E412" s="5">
        <v>33664</v>
      </c>
      <c r="F412" s="9">
        <v>28459</v>
      </c>
      <c r="G412" s="24">
        <f t="shared" si="15"/>
        <v>-0.15461620722433456</v>
      </c>
    </row>
    <row r="413" spans="1:7" ht="26.25" x14ac:dyDescent="0.4">
      <c r="A413" s="1"/>
      <c r="B413" t="s">
        <v>432</v>
      </c>
      <c r="C413" t="s">
        <v>444</v>
      </c>
      <c r="D413" t="s">
        <v>448</v>
      </c>
      <c r="E413" s="5">
        <v>13206</v>
      </c>
      <c r="F413" s="9">
        <v>8856</v>
      </c>
      <c r="G413" s="24">
        <f t="shared" si="15"/>
        <v>-0.32939572921399363</v>
      </c>
    </row>
    <row r="414" spans="1:7" ht="26.25" x14ac:dyDescent="0.4">
      <c r="A414" s="1"/>
      <c r="B414" t="s">
        <v>432</v>
      </c>
      <c r="C414" t="s">
        <v>444</v>
      </c>
      <c r="D414" t="s">
        <v>449</v>
      </c>
      <c r="E414" s="5">
        <v>39391</v>
      </c>
      <c r="F414" s="9">
        <v>40895</v>
      </c>
      <c r="G414" s="24">
        <f t="shared" si="15"/>
        <v>3.8181310451625983E-2</v>
      </c>
    </row>
    <row r="415" spans="1:7" ht="26.25" x14ac:dyDescent="0.4">
      <c r="A415" s="1"/>
      <c r="B415" t="s">
        <v>432</v>
      </c>
      <c r="C415" t="s">
        <v>444</v>
      </c>
      <c r="D415" t="s">
        <v>450</v>
      </c>
      <c r="E415" s="5">
        <v>26565</v>
      </c>
      <c r="F415" s="9">
        <v>25145</v>
      </c>
      <c r="G415" s="24">
        <f t="shared" si="15"/>
        <v>-5.3453792584227333E-2</v>
      </c>
    </row>
    <row r="416" spans="1:7" ht="26.25" x14ac:dyDescent="0.4">
      <c r="A416" s="1"/>
      <c r="B416" t="s">
        <v>432</v>
      </c>
      <c r="C416" t="s">
        <v>444</v>
      </c>
      <c r="D416" t="s">
        <v>451</v>
      </c>
      <c r="E416" s="5">
        <v>25097</v>
      </c>
      <c r="F416" s="9">
        <v>26123</v>
      </c>
      <c r="G416" s="24">
        <f t="shared" si="15"/>
        <v>4.0881380244650822E-2</v>
      </c>
    </row>
    <row r="417" spans="1:7" ht="26.25" x14ac:dyDescent="0.4">
      <c r="A417" s="1"/>
      <c r="B417" t="s">
        <v>432</v>
      </c>
      <c r="C417" t="s">
        <v>444</v>
      </c>
      <c r="D417" t="s">
        <v>452</v>
      </c>
      <c r="E417" s="5">
        <v>12307</v>
      </c>
      <c r="F417" s="9">
        <v>12598</v>
      </c>
      <c r="G417" s="24">
        <f t="shared" si="15"/>
        <v>2.3645080035751942E-2</v>
      </c>
    </row>
    <row r="418" spans="1:7" ht="26.25" x14ac:dyDescent="0.4">
      <c r="A418" s="1"/>
      <c r="B418" s="8" t="s">
        <v>432</v>
      </c>
      <c r="C418" s="8" t="s">
        <v>453</v>
      </c>
      <c r="D418" s="8" t="s">
        <v>13</v>
      </c>
      <c r="E418" s="7">
        <v>126</v>
      </c>
      <c r="F418" s="9">
        <v>100</v>
      </c>
      <c r="G418" s="34">
        <f t="shared" si="15"/>
        <v>-0.20634920634920639</v>
      </c>
    </row>
    <row r="419" spans="1:7" ht="26.25" x14ac:dyDescent="0.4">
      <c r="A419" s="1"/>
      <c r="B419" s="162" t="s">
        <v>432</v>
      </c>
      <c r="C419" s="162" t="s">
        <v>444</v>
      </c>
      <c r="D419" s="162" t="s">
        <v>454</v>
      </c>
      <c r="E419" s="163">
        <f>SUM(E410:E418)</f>
        <v>150360</v>
      </c>
      <c r="F419" s="163">
        <f>SUM(F410:F418)</f>
        <v>143377</v>
      </c>
      <c r="G419" s="79">
        <f t="shared" si="15"/>
        <v>-4.6441872838520859E-2</v>
      </c>
    </row>
    <row r="420" spans="1:7" ht="26.25" x14ac:dyDescent="0.4">
      <c r="A420" s="1">
        <v>23</v>
      </c>
      <c r="B420" s="147" t="s">
        <v>432</v>
      </c>
      <c r="C420" s="147" t="s">
        <v>22</v>
      </c>
      <c r="D420" s="147" t="s">
        <v>455</v>
      </c>
      <c r="E420" s="148">
        <f>E419+E409</f>
        <v>234280</v>
      </c>
      <c r="F420" s="148">
        <f>F419+F409</f>
        <v>225972</v>
      </c>
      <c r="G420" s="149">
        <f t="shared" si="15"/>
        <v>-3.5461840532695965E-2</v>
      </c>
    </row>
    <row r="421" spans="1:7" ht="26.25" x14ac:dyDescent="0.4">
      <c r="A421" s="1"/>
      <c r="B421" t="s">
        <v>456</v>
      </c>
      <c r="C421" s="8" t="s">
        <v>457</v>
      </c>
      <c r="D421" t="s">
        <v>458</v>
      </c>
      <c r="E421" s="5">
        <v>16508</v>
      </c>
      <c r="F421" s="6">
        <f>E421*0.4</f>
        <v>6603.2000000000007</v>
      </c>
      <c r="G421" s="24">
        <f t="shared" si="15"/>
        <v>-0.6</v>
      </c>
    </row>
    <row r="422" spans="1:7" ht="26.25" x14ac:dyDescent="0.4">
      <c r="A422" s="1"/>
      <c r="B422" t="s">
        <v>456</v>
      </c>
      <c r="C422" s="8" t="s">
        <v>457</v>
      </c>
      <c r="D422" t="s">
        <v>459</v>
      </c>
      <c r="E422" s="5">
        <v>12675</v>
      </c>
      <c r="F422" s="6">
        <v>9025</v>
      </c>
      <c r="G422" s="24">
        <f t="shared" si="15"/>
        <v>-0.28796844181459569</v>
      </c>
    </row>
    <row r="423" spans="1:7" ht="26.25" x14ac:dyDescent="0.4">
      <c r="A423" s="1"/>
      <c r="B423" s="8" t="s">
        <v>456</v>
      </c>
      <c r="C423" s="8" t="s">
        <v>457</v>
      </c>
      <c r="D423" s="8" t="s">
        <v>460</v>
      </c>
      <c r="E423" s="7"/>
      <c r="F423" s="6">
        <v>55813</v>
      </c>
      <c r="G423" s="24"/>
    </row>
    <row r="424" spans="1:7" ht="26.25" x14ac:dyDescent="0.4">
      <c r="A424" s="1"/>
      <c r="B424" s="8" t="s">
        <v>456</v>
      </c>
      <c r="C424" s="8" t="s">
        <v>461</v>
      </c>
      <c r="D424" s="8" t="s">
        <v>13</v>
      </c>
      <c r="E424" s="7">
        <v>105</v>
      </c>
      <c r="F424" s="6">
        <v>104</v>
      </c>
      <c r="G424" s="24">
        <f t="shared" si="15"/>
        <v>-9.52380952380949E-3</v>
      </c>
    </row>
    <row r="425" spans="1:7" ht="26.25" x14ac:dyDescent="0.4">
      <c r="A425" s="1">
        <v>24</v>
      </c>
      <c r="B425" s="164" t="s">
        <v>456</v>
      </c>
      <c r="C425" s="164" t="s">
        <v>22</v>
      </c>
      <c r="D425" s="164" t="s">
        <v>462</v>
      </c>
      <c r="E425" s="165">
        <f>SUM(E421:E424)</f>
        <v>29288</v>
      </c>
      <c r="F425" s="165">
        <f>SUM(F421:F424)</f>
        <v>71545.2</v>
      </c>
      <c r="G425" s="166">
        <f>F425/E425-1</f>
        <v>1.4428161704452336</v>
      </c>
    </row>
    <row r="426" spans="1:7" ht="26.25" x14ac:dyDescent="0.4">
      <c r="A426" s="1"/>
      <c r="B426" s="167" t="s">
        <v>463</v>
      </c>
      <c r="C426" s="167" t="s">
        <v>464</v>
      </c>
      <c r="D426" s="167" t="s">
        <v>464</v>
      </c>
      <c r="E426" s="18">
        <v>4</v>
      </c>
      <c r="F426" s="19">
        <v>0</v>
      </c>
      <c r="G426" s="20">
        <f t="shared" si="15"/>
        <v>-1</v>
      </c>
    </row>
    <row r="427" spans="1:7" ht="26.25" x14ac:dyDescent="0.4">
      <c r="A427" s="1"/>
      <c r="B427" s="8" t="s">
        <v>463</v>
      </c>
      <c r="C427" s="8" t="s">
        <v>465</v>
      </c>
      <c r="D427" s="8" t="s">
        <v>466</v>
      </c>
      <c r="E427" s="7">
        <v>8828</v>
      </c>
      <c r="F427" s="6">
        <v>5369</v>
      </c>
      <c r="G427" s="24">
        <f t="shared" si="15"/>
        <v>-0.3918214771182601</v>
      </c>
    </row>
    <row r="428" spans="1:7" ht="26.25" x14ac:dyDescent="0.4">
      <c r="A428" s="1"/>
      <c r="B428" s="8" t="s">
        <v>463</v>
      </c>
      <c r="C428" s="8" t="s">
        <v>465</v>
      </c>
      <c r="D428" s="8" t="s">
        <v>467</v>
      </c>
      <c r="E428" s="7">
        <v>5476</v>
      </c>
      <c r="F428" s="6">
        <v>3251</v>
      </c>
      <c r="G428" s="24">
        <f t="shared" si="15"/>
        <v>-0.40631848064280496</v>
      </c>
    </row>
    <row r="429" spans="1:7" ht="26.25" x14ac:dyDescent="0.4">
      <c r="A429" s="1"/>
      <c r="B429" s="8" t="s">
        <v>463</v>
      </c>
      <c r="C429" s="8" t="s">
        <v>465</v>
      </c>
      <c r="D429" s="8" t="s">
        <v>468</v>
      </c>
      <c r="E429" s="7">
        <v>1139</v>
      </c>
      <c r="F429" s="6">
        <v>169</v>
      </c>
      <c r="G429" s="24">
        <f t="shared" si="15"/>
        <v>-0.8516242317822651</v>
      </c>
    </row>
    <row r="430" spans="1:7" ht="26.25" x14ac:dyDescent="0.4">
      <c r="A430" s="1"/>
      <c r="B430" s="8" t="s">
        <v>463</v>
      </c>
      <c r="C430" s="8" t="s">
        <v>465</v>
      </c>
      <c r="D430" s="158" t="s">
        <v>469</v>
      </c>
      <c r="E430" s="7"/>
      <c r="F430" s="6">
        <v>3002</v>
      </c>
      <c r="G430" s="24"/>
    </row>
    <row r="431" spans="1:7" ht="26.25" x14ac:dyDescent="0.4">
      <c r="A431" s="1"/>
      <c r="B431" t="s">
        <v>463</v>
      </c>
      <c r="C431" s="8" t="s">
        <v>465</v>
      </c>
      <c r="D431" t="s">
        <v>470</v>
      </c>
      <c r="E431" s="5">
        <v>651</v>
      </c>
      <c r="F431" s="6">
        <v>125</v>
      </c>
      <c r="G431" s="24">
        <f t="shared" si="15"/>
        <v>-0.80798771121351765</v>
      </c>
    </row>
    <row r="432" spans="1:7" ht="26.25" x14ac:dyDescent="0.4">
      <c r="A432" s="1"/>
      <c r="B432" t="s">
        <v>463</v>
      </c>
      <c r="C432" s="8" t="s">
        <v>465</v>
      </c>
      <c r="D432" s="99" t="s">
        <v>471</v>
      </c>
      <c r="E432" s="7"/>
      <c r="F432" s="6">
        <v>17289</v>
      </c>
      <c r="G432" s="24"/>
    </row>
    <row r="433" spans="1:7" ht="26.25" x14ac:dyDescent="0.4">
      <c r="A433" s="1"/>
      <c r="B433" t="s">
        <v>463</v>
      </c>
      <c r="C433" s="8" t="s">
        <v>465</v>
      </c>
      <c r="D433" t="s">
        <v>472</v>
      </c>
      <c r="E433" s="5">
        <v>20603</v>
      </c>
      <c r="F433" s="6">
        <v>14236</v>
      </c>
      <c r="G433" s="24">
        <f t="shared" si="15"/>
        <v>-0.30903266514585259</v>
      </c>
    </row>
    <row r="434" spans="1:7" ht="26.25" x14ac:dyDescent="0.4">
      <c r="A434" s="1"/>
      <c r="B434" t="s">
        <v>463</v>
      </c>
      <c r="C434" s="8" t="s">
        <v>465</v>
      </c>
      <c r="D434" t="s">
        <v>473</v>
      </c>
      <c r="E434" s="5">
        <v>7319</v>
      </c>
      <c r="F434" s="6">
        <v>7201</v>
      </c>
      <c r="G434" s="24">
        <f t="shared" si="15"/>
        <v>-1.6122421095778106E-2</v>
      </c>
    </row>
    <row r="435" spans="1:7" ht="26.25" x14ac:dyDescent="0.4">
      <c r="A435" s="1"/>
      <c r="B435" t="s">
        <v>463</v>
      </c>
      <c r="C435" s="8" t="s">
        <v>465</v>
      </c>
      <c r="D435" t="s">
        <v>474</v>
      </c>
      <c r="E435" s="5">
        <v>1341</v>
      </c>
      <c r="F435" s="6">
        <v>1085</v>
      </c>
      <c r="G435" s="24">
        <f t="shared" si="15"/>
        <v>-0.19090231170768079</v>
      </c>
    </row>
    <row r="436" spans="1:7" ht="26.25" x14ac:dyDescent="0.4">
      <c r="A436" s="1"/>
      <c r="B436" t="s">
        <v>463</v>
      </c>
      <c r="C436" s="8" t="s">
        <v>465</v>
      </c>
      <c r="D436" t="s">
        <v>475</v>
      </c>
      <c r="E436" s="5">
        <v>617</v>
      </c>
      <c r="F436" s="6">
        <v>302</v>
      </c>
      <c r="G436" s="24">
        <f t="shared" si="15"/>
        <v>-0.51053484602917343</v>
      </c>
    </row>
    <row r="437" spans="1:7" ht="26.25" x14ac:dyDescent="0.4">
      <c r="A437" s="1"/>
      <c r="B437" s="14" t="s">
        <v>463</v>
      </c>
      <c r="C437" s="8" t="s">
        <v>476</v>
      </c>
      <c r="D437" s="8" t="s">
        <v>13</v>
      </c>
      <c r="E437" s="7">
        <v>229</v>
      </c>
      <c r="F437" s="48">
        <v>200</v>
      </c>
      <c r="G437" s="121">
        <f t="shared" si="15"/>
        <v>-0.1266375545851528</v>
      </c>
    </row>
    <row r="438" spans="1:7" ht="26.25" x14ac:dyDescent="0.4">
      <c r="A438" s="1"/>
      <c r="B438" s="167" t="s">
        <v>463</v>
      </c>
      <c r="C438" s="167" t="s">
        <v>465</v>
      </c>
      <c r="D438" s="167" t="s">
        <v>477</v>
      </c>
      <c r="E438" s="168">
        <f>SUM(E426:E437)</f>
        <v>46207</v>
      </c>
      <c r="F438" s="168">
        <f>SUM(F426:F437)</f>
        <v>52229</v>
      </c>
      <c r="G438" s="169">
        <f t="shared" si="15"/>
        <v>0.13032657389572999</v>
      </c>
    </row>
    <row r="439" spans="1:7" ht="26.25" x14ac:dyDescent="0.4">
      <c r="A439" s="1"/>
      <c r="B439" t="s">
        <v>463</v>
      </c>
      <c r="C439" s="8" t="s">
        <v>478</v>
      </c>
      <c r="D439" t="s">
        <v>479</v>
      </c>
      <c r="E439" s="5">
        <v>3</v>
      </c>
      <c r="G439" s="24">
        <f t="shared" si="15"/>
        <v>-1</v>
      </c>
    </row>
    <row r="440" spans="1:7" ht="26.25" x14ac:dyDescent="0.4">
      <c r="A440" s="1"/>
      <c r="B440" t="s">
        <v>463</v>
      </c>
      <c r="C440" s="8" t="s">
        <v>478</v>
      </c>
      <c r="D440" t="s">
        <v>480</v>
      </c>
      <c r="E440" s="5">
        <v>92266</v>
      </c>
      <c r="F440" s="9">
        <v>89258</v>
      </c>
      <c r="G440" s="24">
        <f t="shared" si="15"/>
        <v>-3.2601391628552245E-2</v>
      </c>
    </row>
    <row r="441" spans="1:7" ht="26.25" x14ac:dyDescent="0.4">
      <c r="A441" s="1"/>
      <c r="B441" t="s">
        <v>463</v>
      </c>
      <c r="C441" s="8" t="s">
        <v>478</v>
      </c>
      <c r="D441" t="s">
        <v>481</v>
      </c>
      <c r="E441" s="5">
        <v>215400</v>
      </c>
      <c r="F441" s="9">
        <v>204589</v>
      </c>
      <c r="G441" s="24">
        <f t="shared" si="15"/>
        <v>-5.019034354688956E-2</v>
      </c>
    </row>
    <row r="442" spans="1:7" ht="26.25" x14ac:dyDescent="0.4">
      <c r="A442" s="1"/>
      <c r="B442" t="s">
        <v>463</v>
      </c>
      <c r="C442" s="8" t="s">
        <v>478</v>
      </c>
      <c r="D442" t="s">
        <v>482</v>
      </c>
      <c r="E442" s="5">
        <v>110599</v>
      </c>
      <c r="F442" s="9">
        <v>30102</v>
      </c>
      <c r="G442" s="24">
        <f t="shared" si="15"/>
        <v>-0.7278275572111863</v>
      </c>
    </row>
    <row r="443" spans="1:7" ht="26.25" x14ac:dyDescent="0.4">
      <c r="A443" s="1"/>
      <c r="B443" t="s">
        <v>463</v>
      </c>
      <c r="C443" s="8" t="s">
        <v>478</v>
      </c>
      <c r="D443" t="s">
        <v>483</v>
      </c>
      <c r="E443" s="5">
        <v>15431</v>
      </c>
      <c r="F443" s="108">
        <v>123895</v>
      </c>
      <c r="G443" s="24">
        <f t="shared" si="15"/>
        <v>7.0289676624975694</v>
      </c>
    </row>
    <row r="444" spans="1:7" ht="26.25" x14ac:dyDescent="0.4">
      <c r="A444" s="1"/>
      <c r="B444" t="s">
        <v>463</v>
      </c>
      <c r="C444" s="8" t="s">
        <v>478</v>
      </c>
      <c r="D444" t="s">
        <v>484</v>
      </c>
      <c r="E444" s="5">
        <v>11924</v>
      </c>
      <c r="F444" s="6">
        <v>7002</v>
      </c>
      <c r="G444" s="24">
        <f t="shared" si="15"/>
        <v>-0.41278094599127813</v>
      </c>
    </row>
    <row r="445" spans="1:7" ht="26.25" x14ac:dyDescent="0.4">
      <c r="A445" s="1"/>
      <c r="B445" t="s">
        <v>463</v>
      </c>
      <c r="C445" s="8" t="s">
        <v>478</v>
      </c>
      <c r="D445" t="s">
        <v>485</v>
      </c>
      <c r="E445" s="5">
        <v>9785</v>
      </c>
      <c r="F445" s="6">
        <v>12063</v>
      </c>
      <c r="G445" s="24">
        <f t="shared" ref="G445:G508" si="16">F445/E445-1</f>
        <v>0.23280531425651518</v>
      </c>
    </row>
    <row r="446" spans="1:7" ht="26.25" x14ac:dyDescent="0.4">
      <c r="A446" s="1"/>
      <c r="B446" t="s">
        <v>463</v>
      </c>
      <c r="C446" s="8" t="s">
        <v>478</v>
      </c>
      <c r="D446" t="s">
        <v>486</v>
      </c>
      <c r="E446" s="5">
        <v>17664</v>
      </c>
      <c r="F446" s="6">
        <v>1289</v>
      </c>
      <c r="G446" s="24">
        <f t="shared" si="16"/>
        <v>-0.92702672101449279</v>
      </c>
    </row>
    <row r="447" spans="1:7" ht="26.25" x14ac:dyDescent="0.4">
      <c r="A447" s="1"/>
      <c r="B447" t="s">
        <v>463</v>
      </c>
      <c r="C447" s="8" t="s">
        <v>478</v>
      </c>
      <c r="D447" t="s">
        <v>487</v>
      </c>
      <c r="E447" s="5">
        <v>4</v>
      </c>
      <c r="F447" s="6">
        <v>0</v>
      </c>
      <c r="G447" s="24">
        <f t="shared" si="16"/>
        <v>-1</v>
      </c>
    </row>
    <row r="448" spans="1:7" ht="26.25" x14ac:dyDescent="0.4">
      <c r="A448" s="1"/>
      <c r="B448" t="s">
        <v>463</v>
      </c>
      <c r="C448" s="8" t="s">
        <v>478</v>
      </c>
      <c r="D448" t="s">
        <v>488</v>
      </c>
      <c r="E448" s="5">
        <v>6606</v>
      </c>
      <c r="F448" s="6">
        <v>65</v>
      </c>
      <c r="G448" s="24">
        <f t="shared" si="16"/>
        <v>-0.99016046018770809</v>
      </c>
    </row>
    <row r="449" spans="1:8" ht="26.25" x14ac:dyDescent="0.4">
      <c r="A449" s="1"/>
      <c r="B449" t="s">
        <v>463</v>
      </c>
      <c r="C449" s="8" t="s">
        <v>478</v>
      </c>
      <c r="D449" t="s">
        <v>489</v>
      </c>
      <c r="E449" s="5">
        <v>132934</v>
      </c>
      <c r="F449" s="6">
        <v>125526</v>
      </c>
      <c r="G449" s="24">
        <f t="shared" si="16"/>
        <v>-5.572690207170472E-2</v>
      </c>
    </row>
    <row r="450" spans="1:8" ht="26.25" x14ac:dyDescent="0.4">
      <c r="A450" s="1"/>
      <c r="B450" t="s">
        <v>463</v>
      </c>
      <c r="C450" s="8" t="s">
        <v>478</v>
      </c>
      <c r="D450" t="s">
        <v>490</v>
      </c>
      <c r="E450" s="5">
        <v>68010</v>
      </c>
      <c r="F450" s="6">
        <f>E450*1.21</f>
        <v>82292.099999999991</v>
      </c>
      <c r="G450" s="24">
        <f t="shared" si="16"/>
        <v>0.20999999999999996</v>
      </c>
    </row>
    <row r="451" spans="1:8" ht="26.25" x14ac:dyDescent="0.4">
      <c r="A451" s="1"/>
      <c r="B451" t="s">
        <v>463</v>
      </c>
      <c r="C451" s="8" t="s">
        <v>478</v>
      </c>
      <c r="D451" t="s">
        <v>491</v>
      </c>
      <c r="E451" s="5">
        <v>6929</v>
      </c>
      <c r="F451" s="6">
        <v>6123</v>
      </c>
      <c r="G451" s="24">
        <f t="shared" si="16"/>
        <v>-0.1163227016885553</v>
      </c>
    </row>
    <row r="452" spans="1:8" ht="26.25" x14ac:dyDescent="0.4">
      <c r="A452" s="1"/>
      <c r="B452" t="s">
        <v>463</v>
      </c>
      <c r="C452" s="8" t="s">
        <v>478</v>
      </c>
      <c r="D452" t="s">
        <v>492</v>
      </c>
      <c r="E452" s="5">
        <v>1304</v>
      </c>
      <c r="F452" s="6">
        <v>1000</v>
      </c>
      <c r="G452" s="24">
        <f t="shared" si="16"/>
        <v>-0.23312883435582821</v>
      </c>
    </row>
    <row r="453" spans="1:8" ht="26.25" x14ac:dyDescent="0.4">
      <c r="A453" s="1"/>
      <c r="B453" t="s">
        <v>463</v>
      </c>
      <c r="C453" s="8" t="s">
        <v>478</v>
      </c>
      <c r="D453" t="s">
        <v>493</v>
      </c>
      <c r="E453" s="5">
        <v>8921</v>
      </c>
      <c r="F453" s="6">
        <v>11684</v>
      </c>
      <c r="G453" s="24">
        <f t="shared" si="16"/>
        <v>0.30971864140791383</v>
      </c>
    </row>
    <row r="454" spans="1:8" ht="26.25" x14ac:dyDescent="0.4">
      <c r="A454" s="1"/>
      <c r="B454" s="8" t="s">
        <v>463</v>
      </c>
      <c r="C454" s="8" t="s">
        <v>494</v>
      </c>
      <c r="D454" s="8" t="s">
        <v>13</v>
      </c>
      <c r="E454" s="7">
        <v>399</v>
      </c>
      <c r="F454" s="9">
        <v>4896</v>
      </c>
      <c r="G454" s="34">
        <f t="shared" si="16"/>
        <v>11.270676691729323</v>
      </c>
    </row>
    <row r="455" spans="1:8" ht="26.25" x14ac:dyDescent="0.4">
      <c r="A455" s="1"/>
      <c r="B455" s="170" t="s">
        <v>463</v>
      </c>
      <c r="C455" s="170" t="s">
        <v>478</v>
      </c>
      <c r="D455" s="170" t="s">
        <v>495</v>
      </c>
      <c r="E455" s="171">
        <f>SUM(E439:E454)</f>
        <v>698179</v>
      </c>
      <c r="F455" s="171">
        <f>SUM(F439:F454)</f>
        <v>699784.1</v>
      </c>
      <c r="G455" s="172">
        <f t="shared" si="16"/>
        <v>2.2989806339062113E-3</v>
      </c>
    </row>
    <row r="456" spans="1:8" ht="26.25" x14ac:dyDescent="0.4">
      <c r="A456" s="1">
        <v>25</v>
      </c>
      <c r="B456" s="173" t="s">
        <v>463</v>
      </c>
      <c r="C456" s="173" t="s">
        <v>22</v>
      </c>
      <c r="D456" s="173" t="s">
        <v>496</v>
      </c>
      <c r="E456" s="174">
        <f>E455+E438+E426</f>
        <v>744390</v>
      </c>
      <c r="F456" s="174">
        <f>F455+F438+F426</f>
        <v>752013.1</v>
      </c>
      <c r="G456" s="175">
        <f t="shared" si="16"/>
        <v>1.0240734023831521E-2</v>
      </c>
    </row>
    <row r="457" spans="1:8" ht="26.25" x14ac:dyDescent="0.4">
      <c r="A457" s="1"/>
      <c r="B457" t="s">
        <v>497</v>
      </c>
      <c r="C457" s="8" t="s">
        <v>498</v>
      </c>
      <c r="D457" t="s">
        <v>499</v>
      </c>
      <c r="E457" s="18">
        <v>72766</v>
      </c>
      <c r="F457" s="176">
        <v>68258</v>
      </c>
      <c r="G457" s="20">
        <f t="shared" si="16"/>
        <v>-6.1952010554379822E-2</v>
      </c>
      <c r="H457" s="195">
        <f>SUM(F457:F465)/SUM(E457:E465)-1</f>
        <v>-0.15007835680075721</v>
      </c>
    </row>
    <row r="458" spans="1:8" ht="26.25" x14ac:dyDescent="0.4">
      <c r="A458" s="1"/>
      <c r="B458" t="s">
        <v>497</v>
      </c>
      <c r="C458" s="8" t="s">
        <v>498</v>
      </c>
      <c r="D458" t="s">
        <v>500</v>
      </c>
      <c r="E458" s="18">
        <v>143115</v>
      </c>
      <c r="F458" s="19">
        <f>0.85*E458</f>
        <v>121647.75</v>
      </c>
      <c r="G458" s="20">
        <f t="shared" si="16"/>
        <v>-0.15000000000000002</v>
      </c>
      <c r="H458" s="195"/>
    </row>
    <row r="459" spans="1:8" ht="26.25" x14ac:dyDescent="0.4">
      <c r="A459" s="1"/>
      <c r="B459" t="s">
        <v>497</v>
      </c>
      <c r="C459" s="8" t="s">
        <v>498</v>
      </c>
      <c r="D459" t="s">
        <v>501</v>
      </c>
      <c r="E459" s="18">
        <v>115022</v>
      </c>
      <c r="F459" s="19">
        <f>0.75*E459</f>
        <v>86266.5</v>
      </c>
      <c r="G459" s="20">
        <f t="shared" si="16"/>
        <v>-0.25</v>
      </c>
      <c r="H459" s="195"/>
    </row>
    <row r="460" spans="1:8" ht="26.25" x14ac:dyDescent="0.4">
      <c r="A460" s="1"/>
      <c r="B460" t="s">
        <v>497</v>
      </c>
      <c r="C460" s="8" t="s">
        <v>498</v>
      </c>
      <c r="D460" t="s">
        <v>502</v>
      </c>
      <c r="E460" s="18">
        <v>50558</v>
      </c>
      <c r="F460" s="19">
        <f>0.72*E460</f>
        <v>36401.760000000002</v>
      </c>
      <c r="G460" s="20">
        <f t="shared" si="16"/>
        <v>-0.27999999999999992</v>
      </c>
      <c r="H460" s="195"/>
    </row>
    <row r="461" spans="1:8" ht="26.25" x14ac:dyDescent="0.4">
      <c r="A461" s="1"/>
      <c r="B461" t="s">
        <v>497</v>
      </c>
      <c r="C461" s="8" t="s">
        <v>498</v>
      </c>
      <c r="D461" t="s">
        <v>503</v>
      </c>
      <c r="E461" s="18">
        <v>71668</v>
      </c>
      <c r="F461" s="19">
        <f>E461*1.02</f>
        <v>73101.36</v>
      </c>
      <c r="G461" s="20">
        <f t="shared" si="16"/>
        <v>2.0000000000000018E-2</v>
      </c>
      <c r="H461" s="195"/>
    </row>
    <row r="462" spans="1:8" ht="26.25" x14ac:dyDescent="0.4">
      <c r="A462" s="1"/>
      <c r="B462" t="s">
        <v>497</v>
      </c>
      <c r="C462" s="8" t="s">
        <v>498</v>
      </c>
      <c r="D462" t="s">
        <v>504</v>
      </c>
      <c r="E462" s="18">
        <v>9354</v>
      </c>
      <c r="F462" s="19">
        <f>0.85*E462</f>
        <v>7950.9</v>
      </c>
      <c r="G462" s="20">
        <f t="shared" si="16"/>
        <v>-0.15000000000000002</v>
      </c>
      <c r="H462" s="195"/>
    </row>
    <row r="463" spans="1:8" ht="26.25" x14ac:dyDescent="0.4">
      <c r="A463" s="1"/>
      <c r="B463" t="s">
        <v>497</v>
      </c>
      <c r="C463" s="8" t="s">
        <v>498</v>
      </c>
      <c r="D463" t="s">
        <v>505</v>
      </c>
      <c r="E463" s="18">
        <v>5644</v>
      </c>
      <c r="F463" s="19">
        <v>4258</v>
      </c>
      <c r="G463" s="20">
        <f t="shared" si="16"/>
        <v>-0.24557051736357194</v>
      </c>
      <c r="H463" s="195"/>
    </row>
    <row r="464" spans="1:8" ht="26.25" x14ac:dyDescent="0.4">
      <c r="A464" s="1"/>
      <c r="B464" t="s">
        <v>497</v>
      </c>
      <c r="C464" s="8" t="s">
        <v>498</v>
      </c>
      <c r="D464" t="s">
        <v>506</v>
      </c>
      <c r="E464" s="18">
        <v>10370</v>
      </c>
      <c r="F464" s="19">
        <v>9023</v>
      </c>
      <c r="G464" s="20">
        <f t="shared" si="16"/>
        <v>-0.12989392478302797</v>
      </c>
      <c r="H464" s="195"/>
    </row>
    <row r="465" spans="1:8" ht="26.25" x14ac:dyDescent="0.4">
      <c r="A465" s="1"/>
      <c r="B465" t="s">
        <v>497</v>
      </c>
      <c r="C465" s="8" t="s">
        <v>498</v>
      </c>
      <c r="D465" t="s">
        <v>507</v>
      </c>
      <c r="E465" s="18">
        <v>1104</v>
      </c>
      <c r="F465" s="19">
        <v>716</v>
      </c>
      <c r="G465" s="20">
        <f t="shared" si="16"/>
        <v>-0.35144927536231885</v>
      </c>
      <c r="H465" s="195"/>
    </row>
    <row r="466" spans="1:8" ht="26.25" x14ac:dyDescent="0.4">
      <c r="A466" s="1"/>
      <c r="B466" t="s">
        <v>497</v>
      </c>
      <c r="C466" s="8" t="s">
        <v>498</v>
      </c>
      <c r="D466" t="s">
        <v>508</v>
      </c>
      <c r="E466" s="177">
        <v>78590</v>
      </c>
      <c r="F466" s="178">
        <v>82589</v>
      </c>
      <c r="G466" s="179">
        <f t="shared" si="16"/>
        <v>5.0884336429571242E-2</v>
      </c>
      <c r="H466" s="196">
        <f>SUM(F466:F470)/SUM(E466:E470)-1</f>
        <v>-4.415030185275115E-3</v>
      </c>
    </row>
    <row r="467" spans="1:8" ht="26.25" x14ac:dyDescent="0.4">
      <c r="A467" s="1"/>
      <c r="B467" t="s">
        <v>497</v>
      </c>
      <c r="C467" s="8" t="s">
        <v>498</v>
      </c>
      <c r="D467" t="s">
        <v>509</v>
      </c>
      <c r="E467" s="177">
        <v>57788</v>
      </c>
      <c r="F467" s="178">
        <v>65895</v>
      </c>
      <c r="G467" s="179">
        <f t="shared" si="16"/>
        <v>0.14028864124039586</v>
      </c>
      <c r="H467" s="196"/>
    </row>
    <row r="468" spans="1:8" ht="26.25" x14ac:dyDescent="0.4">
      <c r="A468" s="1"/>
      <c r="B468" t="s">
        <v>497</v>
      </c>
      <c r="C468" s="8" t="s">
        <v>498</v>
      </c>
      <c r="D468" t="s">
        <v>510</v>
      </c>
      <c r="E468" s="177">
        <v>70401</v>
      </c>
      <c r="F468" s="178">
        <v>53589</v>
      </c>
      <c r="G468" s="179">
        <f t="shared" si="16"/>
        <v>-0.23880342608769767</v>
      </c>
      <c r="H468" s="196"/>
    </row>
    <row r="469" spans="1:8" ht="26.25" x14ac:dyDescent="0.4">
      <c r="A469" s="1"/>
      <c r="B469" t="s">
        <v>497</v>
      </c>
      <c r="C469" s="8" t="s">
        <v>498</v>
      </c>
      <c r="D469" t="s">
        <v>511</v>
      </c>
      <c r="E469" s="177">
        <v>23345</v>
      </c>
      <c r="F469" s="178">
        <v>12589</v>
      </c>
      <c r="G469" s="179">
        <f t="shared" si="16"/>
        <v>-0.46074105804240739</v>
      </c>
      <c r="H469" s="196"/>
    </row>
    <row r="470" spans="1:8" ht="26.25" x14ac:dyDescent="0.4">
      <c r="A470" s="1"/>
      <c r="B470" s="57" t="s">
        <v>497</v>
      </c>
      <c r="C470" s="8" t="s">
        <v>498</v>
      </c>
      <c r="D470" s="57" t="s">
        <v>512</v>
      </c>
      <c r="E470" s="177">
        <v>452</v>
      </c>
      <c r="F470" s="178">
        <v>14896</v>
      </c>
      <c r="G470" s="179">
        <f t="shared" si="16"/>
        <v>31.955752212389378</v>
      </c>
      <c r="H470" s="196"/>
    </row>
    <row r="471" spans="1:8" ht="26.25" x14ac:dyDescent="0.4">
      <c r="A471" s="1"/>
      <c r="B471" s="57" t="s">
        <v>497</v>
      </c>
      <c r="C471" s="8" t="s">
        <v>498</v>
      </c>
      <c r="D471" s="57" t="s">
        <v>513</v>
      </c>
      <c r="E471" s="7"/>
      <c r="F471" s="9">
        <v>28696</v>
      </c>
      <c r="G471" s="24"/>
    </row>
    <row r="472" spans="1:8" ht="26.25" x14ac:dyDescent="0.4">
      <c r="A472" s="1"/>
      <c r="B472" s="8" t="s">
        <v>497</v>
      </c>
      <c r="C472" s="8" t="s">
        <v>514</v>
      </c>
      <c r="D472" s="8" t="s">
        <v>13</v>
      </c>
      <c r="E472" s="7">
        <v>1524</v>
      </c>
      <c r="G472" s="121">
        <f>F471/E472-1</f>
        <v>17.829396325459317</v>
      </c>
    </row>
    <row r="473" spans="1:8" ht="26.25" x14ac:dyDescent="0.4">
      <c r="A473" s="1"/>
      <c r="B473" s="180" t="s">
        <v>497</v>
      </c>
      <c r="C473" s="180" t="s">
        <v>498</v>
      </c>
      <c r="D473" s="180" t="s">
        <v>515</v>
      </c>
      <c r="E473" s="181">
        <f>SUM(E457:E472)</f>
        <v>711701</v>
      </c>
      <c r="F473" s="181">
        <f>SUM(F457:F471)</f>
        <v>665877.27</v>
      </c>
      <c r="G473" s="182">
        <f t="shared" si="16"/>
        <v>-6.4386209939286232E-2</v>
      </c>
    </row>
    <row r="474" spans="1:8" ht="26.25" x14ac:dyDescent="0.4">
      <c r="A474" s="1"/>
      <c r="B474" t="s">
        <v>497</v>
      </c>
      <c r="C474" s="8" t="s">
        <v>516</v>
      </c>
      <c r="D474" t="s">
        <v>517</v>
      </c>
      <c r="E474" s="5">
        <v>1481</v>
      </c>
      <c r="F474" s="9">
        <v>2613</v>
      </c>
      <c r="G474" s="24">
        <f t="shared" si="16"/>
        <v>0.76434841323430125</v>
      </c>
    </row>
    <row r="475" spans="1:8" ht="26.25" x14ac:dyDescent="0.4">
      <c r="A475" s="1"/>
      <c r="B475" t="s">
        <v>497</v>
      </c>
      <c r="C475" s="8" t="s">
        <v>516</v>
      </c>
      <c r="D475" t="s">
        <v>518</v>
      </c>
      <c r="E475" s="5">
        <v>362</v>
      </c>
      <c r="F475" s="9">
        <v>6</v>
      </c>
      <c r="G475" s="24">
        <f t="shared" si="16"/>
        <v>-0.98342541436464093</v>
      </c>
    </row>
    <row r="476" spans="1:8" ht="26.25" x14ac:dyDescent="0.4">
      <c r="A476" s="1"/>
      <c r="B476" t="s">
        <v>497</v>
      </c>
      <c r="C476" s="8" t="s">
        <v>516</v>
      </c>
      <c r="D476" t="s">
        <v>519</v>
      </c>
      <c r="E476" s="5">
        <v>108</v>
      </c>
      <c r="F476" s="9">
        <v>86</v>
      </c>
      <c r="G476" s="24">
        <f t="shared" si="16"/>
        <v>-0.20370370370370372</v>
      </c>
    </row>
    <row r="477" spans="1:8" ht="26.25" x14ac:dyDescent="0.4">
      <c r="A477" s="1"/>
      <c r="B477" t="s">
        <v>497</v>
      </c>
      <c r="C477" s="8" t="s">
        <v>516</v>
      </c>
      <c r="D477" t="s">
        <v>520</v>
      </c>
      <c r="E477" s="5">
        <v>1221</v>
      </c>
      <c r="F477" s="9">
        <v>602</v>
      </c>
      <c r="G477" s="24">
        <f t="shared" si="16"/>
        <v>-0.50696150696150699</v>
      </c>
    </row>
    <row r="478" spans="1:8" ht="26.25" x14ac:dyDescent="0.4">
      <c r="A478" s="1"/>
      <c r="B478" s="8" t="s">
        <v>497</v>
      </c>
      <c r="C478" s="8" t="s">
        <v>521</v>
      </c>
      <c r="D478" s="8" t="s">
        <v>13</v>
      </c>
      <c r="E478" s="7">
        <v>50</v>
      </c>
      <c r="F478" s="9">
        <v>45</v>
      </c>
      <c r="G478" s="34">
        <f t="shared" si="16"/>
        <v>-9.9999999999999978E-2</v>
      </c>
    </row>
    <row r="479" spans="1:8" ht="26.25" x14ac:dyDescent="0.4">
      <c r="A479" s="1"/>
      <c r="B479" s="180" t="s">
        <v>497</v>
      </c>
      <c r="C479" s="180" t="s">
        <v>516</v>
      </c>
      <c r="D479" s="180" t="s">
        <v>522</v>
      </c>
      <c r="E479" s="183">
        <f>SUM(E474:E478)</f>
        <v>3222</v>
      </c>
      <c r="F479" s="183">
        <f>SUM(F474:F478)</f>
        <v>3352</v>
      </c>
      <c r="G479" s="182">
        <f t="shared" si="16"/>
        <v>4.0347610180012428E-2</v>
      </c>
    </row>
    <row r="480" spans="1:8" ht="26.25" x14ac:dyDescent="0.4">
      <c r="A480" s="1"/>
      <c r="B480" s="180" t="s">
        <v>497</v>
      </c>
      <c r="C480" s="180" t="s">
        <v>523</v>
      </c>
      <c r="D480" s="180" t="s">
        <v>523</v>
      </c>
      <c r="E480" s="184">
        <v>26</v>
      </c>
      <c r="F480" s="180">
        <v>28</v>
      </c>
      <c r="G480" s="182">
        <f t="shared" si="16"/>
        <v>7.6923076923076872E-2</v>
      </c>
    </row>
    <row r="481" spans="1:7" ht="26.25" x14ac:dyDescent="0.4">
      <c r="A481" s="1"/>
      <c r="B481" s="8" t="s">
        <v>497</v>
      </c>
      <c r="C481" s="8" t="s">
        <v>524</v>
      </c>
      <c r="D481" s="8" t="s">
        <v>525</v>
      </c>
      <c r="E481" s="7">
        <v>829</v>
      </c>
      <c r="F481" s="9">
        <v>602</v>
      </c>
      <c r="G481" s="34">
        <f t="shared" si="16"/>
        <v>-0.27382388419782866</v>
      </c>
    </row>
    <row r="482" spans="1:7" ht="26.25" x14ac:dyDescent="0.4">
      <c r="A482" s="1"/>
      <c r="B482" s="8" t="s">
        <v>497</v>
      </c>
      <c r="C482" s="8" t="s">
        <v>524</v>
      </c>
      <c r="D482" s="8" t="s">
        <v>526</v>
      </c>
      <c r="E482" s="7">
        <v>546</v>
      </c>
      <c r="F482" s="9">
        <v>444</v>
      </c>
      <c r="G482" s="34">
        <f t="shared" si="16"/>
        <v>-0.18681318681318682</v>
      </c>
    </row>
    <row r="483" spans="1:7" ht="26.25" x14ac:dyDescent="0.4">
      <c r="A483" s="1"/>
      <c r="B483" s="8" t="s">
        <v>497</v>
      </c>
      <c r="C483" s="8" t="s">
        <v>524</v>
      </c>
      <c r="D483" s="8" t="s">
        <v>527</v>
      </c>
      <c r="E483" s="7">
        <v>284</v>
      </c>
      <c r="F483" s="9">
        <v>1205</v>
      </c>
      <c r="G483" s="34">
        <f t="shared" si="16"/>
        <v>3.242957746478873</v>
      </c>
    </row>
    <row r="484" spans="1:7" ht="26.25" x14ac:dyDescent="0.4">
      <c r="A484" s="1"/>
      <c r="B484" s="8" t="s">
        <v>497</v>
      </c>
      <c r="C484" s="8" t="s">
        <v>528</v>
      </c>
      <c r="D484" s="8" t="s">
        <v>13</v>
      </c>
      <c r="E484" s="7">
        <v>41</v>
      </c>
      <c r="F484" s="9">
        <v>55</v>
      </c>
      <c r="G484" s="34">
        <f t="shared" si="16"/>
        <v>0.34146341463414642</v>
      </c>
    </row>
    <row r="485" spans="1:7" ht="26.25" x14ac:dyDescent="0.4">
      <c r="A485" s="1"/>
      <c r="B485" s="180" t="s">
        <v>497</v>
      </c>
      <c r="C485" s="180" t="s">
        <v>524</v>
      </c>
      <c r="D485" s="180" t="s">
        <v>529</v>
      </c>
      <c r="E485" s="183">
        <f>SUM(E481:E484)</f>
        <v>1700</v>
      </c>
      <c r="F485" s="183">
        <f>SUM(F481:F484)</f>
        <v>2306</v>
      </c>
      <c r="G485" s="182">
        <f t="shared" si="16"/>
        <v>0.35647058823529409</v>
      </c>
    </row>
    <row r="486" spans="1:7" ht="26.25" x14ac:dyDescent="0.4">
      <c r="A486" s="1"/>
      <c r="B486" t="s">
        <v>497</v>
      </c>
      <c r="C486" t="s">
        <v>530</v>
      </c>
      <c r="D486" t="s">
        <v>531</v>
      </c>
      <c r="E486" s="5">
        <v>8246</v>
      </c>
      <c r="F486" s="9">
        <v>5986</v>
      </c>
      <c r="G486" s="24">
        <f t="shared" si="16"/>
        <v>-0.27407227746786322</v>
      </c>
    </row>
    <row r="487" spans="1:7" ht="26.25" x14ac:dyDescent="0.4">
      <c r="A487" s="1"/>
      <c r="B487" t="s">
        <v>497</v>
      </c>
      <c r="C487" t="s">
        <v>530</v>
      </c>
      <c r="D487" t="s">
        <v>532</v>
      </c>
      <c r="E487" s="5">
        <v>106</v>
      </c>
      <c r="F487" s="9">
        <v>10</v>
      </c>
      <c r="G487" s="24">
        <f t="shared" si="16"/>
        <v>-0.90566037735849059</v>
      </c>
    </row>
    <row r="488" spans="1:7" ht="26.25" x14ac:dyDescent="0.4">
      <c r="A488" s="1"/>
      <c r="B488" t="s">
        <v>497</v>
      </c>
      <c r="C488" t="s">
        <v>530</v>
      </c>
      <c r="D488" s="69">
        <v>911</v>
      </c>
      <c r="E488" s="5">
        <v>18107</v>
      </c>
      <c r="F488" s="9">
        <v>13589</v>
      </c>
      <c r="G488" s="24">
        <f t="shared" si="16"/>
        <v>-0.24951676147346336</v>
      </c>
    </row>
    <row r="489" spans="1:7" ht="26.25" x14ac:dyDescent="0.4">
      <c r="A489" s="1"/>
      <c r="B489" t="s">
        <v>497</v>
      </c>
      <c r="C489" t="s">
        <v>530</v>
      </c>
      <c r="D489" t="s">
        <v>533</v>
      </c>
      <c r="E489" s="5">
        <v>9478</v>
      </c>
      <c r="F489" s="9">
        <v>7025</v>
      </c>
      <c r="G489" s="24">
        <f t="shared" si="16"/>
        <v>-0.25880987550116064</v>
      </c>
    </row>
    <row r="490" spans="1:7" ht="26.25" x14ac:dyDescent="0.4">
      <c r="A490" s="1"/>
      <c r="B490" t="s">
        <v>497</v>
      </c>
      <c r="C490" t="s">
        <v>530</v>
      </c>
      <c r="D490" t="s">
        <v>534</v>
      </c>
      <c r="E490" s="5">
        <v>19596</v>
      </c>
      <c r="F490" s="9">
        <v>17489</v>
      </c>
      <c r="G490" s="24">
        <f t="shared" si="16"/>
        <v>-0.10752194325372522</v>
      </c>
    </row>
    <row r="491" spans="1:7" ht="26.25" x14ac:dyDescent="0.4">
      <c r="A491" s="1"/>
      <c r="B491" s="8" t="s">
        <v>497</v>
      </c>
      <c r="C491" s="8" t="s">
        <v>530</v>
      </c>
      <c r="D491" s="8" t="s">
        <v>535</v>
      </c>
      <c r="E491" s="7">
        <v>14270</v>
      </c>
      <c r="F491" s="9">
        <v>10123</v>
      </c>
      <c r="G491" s="34">
        <f t="shared" si="16"/>
        <v>-0.29060967063770149</v>
      </c>
    </row>
    <row r="492" spans="1:7" ht="26.25" x14ac:dyDescent="0.4">
      <c r="A492" s="1"/>
      <c r="B492" s="8" t="s">
        <v>497</v>
      </c>
      <c r="C492" s="8" t="s">
        <v>536</v>
      </c>
      <c r="D492" s="8" t="s">
        <v>13</v>
      </c>
      <c r="E492" s="7">
        <v>373</v>
      </c>
      <c r="F492" s="9">
        <v>486</v>
      </c>
      <c r="G492" s="34">
        <f t="shared" si="16"/>
        <v>0.30294906166219837</v>
      </c>
    </row>
    <row r="493" spans="1:7" ht="26.25" x14ac:dyDescent="0.4">
      <c r="A493" s="1"/>
      <c r="B493" s="180" t="s">
        <v>497</v>
      </c>
      <c r="C493" s="180" t="s">
        <v>530</v>
      </c>
      <c r="D493" s="180" t="s">
        <v>537</v>
      </c>
      <c r="E493" s="183">
        <f>SUM(E486:E492)</f>
        <v>70176</v>
      </c>
      <c r="F493" s="183">
        <f>SUM(F486:F492)</f>
        <v>54708</v>
      </c>
      <c r="G493" s="182">
        <f t="shared" si="16"/>
        <v>-0.22041723666210666</v>
      </c>
    </row>
    <row r="494" spans="1:7" ht="26.25" x14ac:dyDescent="0.4">
      <c r="A494" s="1"/>
      <c r="B494" t="s">
        <v>497</v>
      </c>
      <c r="C494" t="s">
        <v>538</v>
      </c>
      <c r="D494" t="s">
        <v>539</v>
      </c>
      <c r="E494" s="5">
        <v>2</v>
      </c>
      <c r="F494" s="9">
        <v>2</v>
      </c>
      <c r="G494" s="24">
        <f t="shared" si="16"/>
        <v>0</v>
      </c>
    </row>
    <row r="495" spans="1:7" ht="26.25" x14ac:dyDescent="0.4">
      <c r="A495" s="1"/>
      <c r="B495" t="s">
        <v>497</v>
      </c>
      <c r="C495" t="s">
        <v>538</v>
      </c>
      <c r="D495" t="s">
        <v>540</v>
      </c>
      <c r="E495" s="5">
        <v>22076</v>
      </c>
      <c r="F495" s="9">
        <v>20012</v>
      </c>
      <c r="G495" s="24">
        <f t="shared" si="16"/>
        <v>-9.349519840550824E-2</v>
      </c>
    </row>
    <row r="496" spans="1:7" ht="26.25" x14ac:dyDescent="0.4">
      <c r="A496" s="1"/>
      <c r="B496" t="s">
        <v>497</v>
      </c>
      <c r="C496" t="s">
        <v>538</v>
      </c>
      <c r="D496" t="s">
        <v>541</v>
      </c>
      <c r="E496" s="5">
        <v>13151</v>
      </c>
      <c r="F496" s="9">
        <v>13458</v>
      </c>
      <c r="G496" s="24">
        <f t="shared" si="16"/>
        <v>2.334423237776595E-2</v>
      </c>
    </row>
    <row r="497" spans="1:7" ht="26.25" x14ac:dyDescent="0.4">
      <c r="A497" s="1"/>
      <c r="B497" t="s">
        <v>497</v>
      </c>
      <c r="C497" t="s">
        <v>538</v>
      </c>
      <c r="D497" t="s">
        <v>542</v>
      </c>
      <c r="E497" s="5">
        <v>101105</v>
      </c>
      <c r="F497" s="9">
        <v>84589</v>
      </c>
      <c r="G497" s="24">
        <f t="shared" si="16"/>
        <v>-0.16335492804510165</v>
      </c>
    </row>
    <row r="498" spans="1:7" ht="26.25" x14ac:dyDescent="0.4">
      <c r="A498" s="1"/>
      <c r="B498" t="s">
        <v>497</v>
      </c>
      <c r="C498" t="s">
        <v>538</v>
      </c>
      <c r="D498" t="s">
        <v>543</v>
      </c>
      <c r="E498" s="5">
        <v>141013</v>
      </c>
      <c r="F498" s="9">
        <v>125896</v>
      </c>
      <c r="G498" s="24">
        <f t="shared" si="16"/>
        <v>-0.10720288200378691</v>
      </c>
    </row>
    <row r="499" spans="1:7" ht="26.25" x14ac:dyDescent="0.4">
      <c r="A499" s="1"/>
      <c r="B499" t="s">
        <v>497</v>
      </c>
      <c r="C499" t="s">
        <v>538</v>
      </c>
      <c r="D499" t="s">
        <v>544</v>
      </c>
      <c r="E499" s="5">
        <v>5557</v>
      </c>
      <c r="F499" s="9">
        <v>1102</v>
      </c>
      <c r="G499" s="24">
        <f t="shared" si="16"/>
        <v>-0.80169156019434951</v>
      </c>
    </row>
    <row r="500" spans="1:7" ht="26.25" x14ac:dyDescent="0.4">
      <c r="A500" s="1"/>
      <c r="B500" t="s">
        <v>497</v>
      </c>
      <c r="C500" t="s">
        <v>538</v>
      </c>
      <c r="D500" t="s">
        <v>545</v>
      </c>
      <c r="E500" s="5">
        <v>90642</v>
      </c>
      <c r="F500" s="6">
        <v>107589</v>
      </c>
      <c r="G500" s="24">
        <f t="shared" si="16"/>
        <v>0.18696630700999539</v>
      </c>
    </row>
    <row r="501" spans="1:7" ht="26.25" x14ac:dyDescent="0.4">
      <c r="A501" s="1"/>
      <c r="B501" t="s">
        <v>497</v>
      </c>
      <c r="C501" t="s">
        <v>538</v>
      </c>
      <c r="D501" t="s">
        <v>546</v>
      </c>
      <c r="E501" s="5">
        <v>71998</v>
      </c>
      <c r="F501" s="6">
        <v>77589</v>
      </c>
      <c r="G501" s="24">
        <f t="shared" si="16"/>
        <v>7.7654934859301639E-2</v>
      </c>
    </row>
    <row r="502" spans="1:7" ht="26.25" x14ac:dyDescent="0.4">
      <c r="A502" s="1"/>
      <c r="B502" s="8" t="s">
        <v>497</v>
      </c>
      <c r="C502" s="8" t="s">
        <v>538</v>
      </c>
      <c r="D502" s="8" t="s">
        <v>547</v>
      </c>
      <c r="E502" s="7">
        <v>896</v>
      </c>
      <c r="F502" s="9">
        <v>29425</v>
      </c>
      <c r="G502" s="24">
        <f t="shared" si="16"/>
        <v>31.840401785714285</v>
      </c>
    </row>
    <row r="503" spans="1:7" ht="26.25" x14ac:dyDescent="0.4">
      <c r="A503" s="1"/>
      <c r="B503" s="8" t="s">
        <v>497</v>
      </c>
      <c r="C503" s="8" t="s">
        <v>548</v>
      </c>
      <c r="D503" s="8" t="s">
        <v>13</v>
      </c>
      <c r="E503" s="7">
        <v>278</v>
      </c>
      <c r="F503" s="9">
        <v>10</v>
      </c>
      <c r="G503" s="24">
        <f t="shared" si="16"/>
        <v>-0.96402877697841727</v>
      </c>
    </row>
    <row r="504" spans="1:7" ht="26.25" x14ac:dyDescent="0.4">
      <c r="A504" s="1"/>
      <c r="B504" s="180" t="s">
        <v>497</v>
      </c>
      <c r="C504" s="180" t="s">
        <v>538</v>
      </c>
      <c r="D504" s="180" t="s">
        <v>549</v>
      </c>
      <c r="E504" s="183">
        <f>SUM(E494:E503)</f>
        <v>446718</v>
      </c>
      <c r="F504" s="183">
        <f>SUM(F494:F503)</f>
        <v>459672</v>
      </c>
      <c r="G504" s="185">
        <f t="shared" si="16"/>
        <v>2.8998159912965171E-2</v>
      </c>
    </row>
    <row r="505" spans="1:7" ht="26.25" x14ac:dyDescent="0.4">
      <c r="A505" s="1"/>
      <c r="B505" s="8" t="s">
        <v>497</v>
      </c>
      <c r="C505" s="8" t="s">
        <v>550</v>
      </c>
      <c r="D505" s="8" t="s">
        <v>551</v>
      </c>
      <c r="E505" s="7">
        <v>37677</v>
      </c>
      <c r="F505" s="9">
        <v>37856</v>
      </c>
      <c r="G505" s="24">
        <f t="shared" si="16"/>
        <v>4.7509090426520739E-3</v>
      </c>
    </row>
    <row r="506" spans="1:7" ht="26.25" x14ac:dyDescent="0.4">
      <c r="A506" s="1"/>
      <c r="B506" t="s">
        <v>497</v>
      </c>
      <c r="C506" t="s">
        <v>550</v>
      </c>
      <c r="D506" t="s">
        <v>552</v>
      </c>
      <c r="E506" s="5">
        <v>165194</v>
      </c>
      <c r="F506" s="6">
        <v>158963</v>
      </c>
      <c r="G506" s="24">
        <f t="shared" si="16"/>
        <v>-3.7719287625458509E-2</v>
      </c>
    </row>
    <row r="507" spans="1:7" ht="26.25" x14ac:dyDescent="0.4">
      <c r="A507" s="1"/>
      <c r="B507" t="s">
        <v>497</v>
      </c>
      <c r="C507" t="s">
        <v>550</v>
      </c>
      <c r="D507" t="s">
        <v>553</v>
      </c>
      <c r="E507" s="5">
        <v>59791</v>
      </c>
      <c r="F507" s="6">
        <v>35896</v>
      </c>
      <c r="G507" s="24">
        <f t="shared" si="16"/>
        <v>-0.39964208660166245</v>
      </c>
    </row>
    <row r="508" spans="1:7" ht="26.25" x14ac:dyDescent="0.4">
      <c r="A508" s="1"/>
      <c r="B508" t="s">
        <v>497</v>
      </c>
      <c r="C508" t="s">
        <v>550</v>
      </c>
      <c r="D508" t="s">
        <v>554</v>
      </c>
      <c r="E508" s="5">
        <v>212687</v>
      </c>
      <c r="F508" s="6">
        <v>200148</v>
      </c>
      <c r="G508" s="24">
        <f t="shared" si="16"/>
        <v>-5.8955178266654751E-2</v>
      </c>
    </row>
    <row r="509" spans="1:7" ht="26.25" x14ac:dyDescent="0.4">
      <c r="A509" s="1"/>
      <c r="B509" t="s">
        <v>497</v>
      </c>
      <c r="C509" t="s">
        <v>550</v>
      </c>
      <c r="D509" t="s">
        <v>555</v>
      </c>
      <c r="E509" s="5">
        <v>73554</v>
      </c>
      <c r="F509" s="6">
        <v>66258</v>
      </c>
      <c r="G509" s="24">
        <f t="shared" ref="G509:G540" si="17">F509/E509-1</f>
        <v>-9.9192430051390779E-2</v>
      </c>
    </row>
    <row r="510" spans="1:7" ht="26.25" x14ac:dyDescent="0.4">
      <c r="A510" s="1"/>
      <c r="B510" t="s">
        <v>497</v>
      </c>
      <c r="C510" t="s">
        <v>550</v>
      </c>
      <c r="D510" t="s">
        <v>556</v>
      </c>
      <c r="E510" s="5">
        <v>833</v>
      </c>
      <c r="F510" s="6">
        <v>0</v>
      </c>
      <c r="G510" s="24">
        <f t="shared" si="17"/>
        <v>-1</v>
      </c>
    </row>
    <row r="511" spans="1:7" ht="26.25" x14ac:dyDescent="0.4">
      <c r="A511" s="1"/>
      <c r="B511" t="s">
        <v>497</v>
      </c>
      <c r="C511" t="s">
        <v>550</v>
      </c>
      <c r="D511" t="s">
        <v>557</v>
      </c>
      <c r="E511" s="5">
        <v>78842</v>
      </c>
      <c r="F511" s="6">
        <v>90896</v>
      </c>
      <c r="G511" s="24">
        <f t="shared" si="17"/>
        <v>0.15288805459019295</v>
      </c>
    </row>
    <row r="512" spans="1:7" ht="26.25" x14ac:dyDescent="0.4">
      <c r="A512" s="1"/>
      <c r="B512" t="s">
        <v>497</v>
      </c>
      <c r="C512" t="s">
        <v>550</v>
      </c>
      <c r="D512" t="s">
        <v>558</v>
      </c>
      <c r="E512" s="5">
        <v>63990</v>
      </c>
      <c r="F512" s="6">
        <v>72001</v>
      </c>
      <c r="G512" s="24">
        <f t="shared" si="17"/>
        <v>0.1251914361619002</v>
      </c>
    </row>
    <row r="513" spans="1:7" ht="26.25" x14ac:dyDescent="0.4">
      <c r="A513" s="1"/>
      <c r="B513" s="8" t="s">
        <v>497</v>
      </c>
      <c r="C513" s="8" t="s">
        <v>559</v>
      </c>
      <c r="D513" s="8" t="s">
        <v>13</v>
      </c>
      <c r="E513" s="7">
        <v>857</v>
      </c>
      <c r="F513" s="9">
        <v>17853</v>
      </c>
      <c r="G513" s="34">
        <f t="shared" si="17"/>
        <v>19.831971995332555</v>
      </c>
    </row>
    <row r="514" spans="1:7" ht="26.25" x14ac:dyDescent="0.4">
      <c r="A514" s="1"/>
      <c r="B514" s="180" t="s">
        <v>497</v>
      </c>
      <c r="C514" s="180" t="s">
        <v>550</v>
      </c>
      <c r="D514" s="180" t="s">
        <v>560</v>
      </c>
      <c r="E514" s="181">
        <f>SUM(E505:E513)</f>
        <v>693425</v>
      </c>
      <c r="F514" s="181">
        <f>SUM(F505:F513)</f>
        <v>679871</v>
      </c>
      <c r="G514" s="182">
        <f t="shared" si="17"/>
        <v>-1.9546454194757867E-2</v>
      </c>
    </row>
    <row r="515" spans="1:7" ht="26.25" x14ac:dyDescent="0.4">
      <c r="A515" s="1"/>
      <c r="B515" t="s">
        <v>497</v>
      </c>
      <c r="C515" t="s">
        <v>561</v>
      </c>
      <c r="D515" t="s">
        <v>562</v>
      </c>
      <c r="E515" s="5">
        <v>97478</v>
      </c>
      <c r="F515" s="6">
        <f>0.86*E515</f>
        <v>83831.08</v>
      </c>
      <c r="G515" s="24">
        <f t="shared" si="17"/>
        <v>-0.14000000000000001</v>
      </c>
    </row>
    <row r="516" spans="1:7" ht="26.25" x14ac:dyDescent="0.4">
      <c r="A516" s="1"/>
      <c r="B516" t="s">
        <v>497</v>
      </c>
      <c r="C516" t="s">
        <v>561</v>
      </c>
      <c r="D516" t="s">
        <v>563</v>
      </c>
      <c r="E516" s="5">
        <v>294493</v>
      </c>
      <c r="F516" s="9">
        <v>260369</v>
      </c>
      <c r="G516" s="24">
        <f t="shared" si="17"/>
        <v>-0.11587372195603973</v>
      </c>
    </row>
    <row r="517" spans="1:7" ht="26.25" x14ac:dyDescent="0.4">
      <c r="A517" s="1"/>
      <c r="B517" t="s">
        <v>497</v>
      </c>
      <c r="C517" t="s">
        <v>561</v>
      </c>
      <c r="D517" t="s">
        <v>564</v>
      </c>
      <c r="E517" s="5">
        <v>441384</v>
      </c>
      <c r="F517" s="6">
        <f>0.85*E517</f>
        <v>375176.39999999997</v>
      </c>
      <c r="G517" s="24">
        <f t="shared" si="17"/>
        <v>-0.15000000000000013</v>
      </c>
    </row>
    <row r="518" spans="1:7" ht="26.25" x14ac:dyDescent="0.4">
      <c r="A518" s="1"/>
      <c r="B518" t="s">
        <v>497</v>
      </c>
      <c r="C518" t="s">
        <v>561</v>
      </c>
      <c r="D518" t="s">
        <v>565</v>
      </c>
      <c r="E518" s="5">
        <v>55178</v>
      </c>
      <c r="F518" s="6">
        <v>40125</v>
      </c>
      <c r="G518" s="24">
        <f t="shared" si="17"/>
        <v>-0.27280800318967702</v>
      </c>
    </row>
    <row r="519" spans="1:7" ht="26.25" x14ac:dyDescent="0.4">
      <c r="A519" s="1"/>
      <c r="B519" t="s">
        <v>497</v>
      </c>
      <c r="C519" t="s">
        <v>561</v>
      </c>
      <c r="D519" t="s">
        <v>566</v>
      </c>
      <c r="E519" s="5">
        <v>3263</v>
      </c>
      <c r="F519" s="6">
        <v>14</v>
      </c>
      <c r="G519" s="24">
        <f t="shared" si="17"/>
        <v>-0.99570946981305553</v>
      </c>
    </row>
    <row r="520" spans="1:7" ht="26.25" x14ac:dyDescent="0.4">
      <c r="A520" s="1"/>
      <c r="B520" t="s">
        <v>497</v>
      </c>
      <c r="C520" t="s">
        <v>561</v>
      </c>
      <c r="D520" t="s">
        <v>567</v>
      </c>
      <c r="E520" s="5">
        <v>155697</v>
      </c>
      <c r="F520" s="6">
        <f>0.73*E520</f>
        <v>113658.81</v>
      </c>
      <c r="G520" s="24">
        <f t="shared" si="17"/>
        <v>-0.27</v>
      </c>
    </row>
    <row r="521" spans="1:7" ht="26.25" x14ac:dyDescent="0.4">
      <c r="A521" s="1"/>
      <c r="B521" t="s">
        <v>497</v>
      </c>
      <c r="C521" t="s">
        <v>561</v>
      </c>
      <c r="D521" t="s">
        <v>568</v>
      </c>
      <c r="E521" s="5">
        <v>1005</v>
      </c>
      <c r="F521" s="6">
        <v>2</v>
      </c>
      <c r="G521" s="24">
        <f t="shared" si="17"/>
        <v>-0.99800995024875627</v>
      </c>
    </row>
    <row r="522" spans="1:7" ht="26.25" x14ac:dyDescent="0.4">
      <c r="A522" s="1"/>
      <c r="B522" t="s">
        <v>497</v>
      </c>
      <c r="C522" t="s">
        <v>561</v>
      </c>
      <c r="D522" t="s">
        <v>569</v>
      </c>
      <c r="E522" s="5">
        <v>21728</v>
      </c>
      <c r="F522" s="6">
        <v>16849</v>
      </c>
      <c r="G522" s="24">
        <f t="shared" si="17"/>
        <v>-0.22454896907216493</v>
      </c>
    </row>
    <row r="523" spans="1:7" ht="26.25" x14ac:dyDescent="0.4">
      <c r="A523" s="1"/>
      <c r="B523" t="s">
        <v>497</v>
      </c>
      <c r="C523" t="s">
        <v>561</v>
      </c>
      <c r="D523" t="s">
        <v>570</v>
      </c>
      <c r="E523" s="5">
        <v>2</v>
      </c>
      <c r="F523" s="6">
        <v>0</v>
      </c>
      <c r="G523" s="24">
        <f t="shared" si="17"/>
        <v>-1</v>
      </c>
    </row>
    <row r="524" spans="1:7" ht="26.25" x14ac:dyDescent="0.4">
      <c r="A524" s="1"/>
      <c r="B524" t="s">
        <v>497</v>
      </c>
      <c r="C524" t="s">
        <v>561</v>
      </c>
      <c r="D524" t="s">
        <v>571</v>
      </c>
      <c r="E524" s="5">
        <v>13569</v>
      </c>
      <c r="F524" s="6">
        <v>279</v>
      </c>
      <c r="G524" s="24">
        <f t="shared" si="17"/>
        <v>-0.97943842582356844</v>
      </c>
    </row>
    <row r="525" spans="1:7" ht="26.25" x14ac:dyDescent="0.4">
      <c r="A525" s="1"/>
      <c r="B525" t="s">
        <v>497</v>
      </c>
      <c r="C525" t="s">
        <v>561</v>
      </c>
      <c r="D525" t="s">
        <v>572</v>
      </c>
      <c r="E525" s="5">
        <v>990</v>
      </c>
      <c r="F525" s="6">
        <v>4</v>
      </c>
      <c r="G525" s="24">
        <f t="shared" si="17"/>
        <v>-0.99595959595959593</v>
      </c>
    </row>
    <row r="526" spans="1:7" ht="26.25" x14ac:dyDescent="0.4">
      <c r="A526" s="1"/>
      <c r="B526" t="s">
        <v>497</v>
      </c>
      <c r="C526" t="s">
        <v>561</v>
      </c>
      <c r="D526" t="s">
        <v>573</v>
      </c>
      <c r="E526" s="5">
        <v>5</v>
      </c>
      <c r="F526" s="6">
        <v>1</v>
      </c>
      <c r="G526" s="24">
        <f t="shared" si="17"/>
        <v>-0.8</v>
      </c>
    </row>
    <row r="527" spans="1:7" ht="26.25" x14ac:dyDescent="0.4">
      <c r="A527" s="1"/>
      <c r="B527" t="s">
        <v>497</v>
      </c>
      <c r="C527" t="s">
        <v>561</v>
      </c>
      <c r="D527" t="s">
        <v>574</v>
      </c>
      <c r="E527" s="5">
        <v>84516</v>
      </c>
      <c r="F527" s="6">
        <v>65256</v>
      </c>
      <c r="G527" s="24">
        <f t="shared" si="17"/>
        <v>-0.22788584410052537</v>
      </c>
    </row>
    <row r="528" spans="1:7" ht="26.25" x14ac:dyDescent="0.4">
      <c r="A528" s="1"/>
      <c r="B528" t="s">
        <v>497</v>
      </c>
      <c r="C528" t="s">
        <v>561</v>
      </c>
      <c r="D528" t="s">
        <v>575</v>
      </c>
      <c r="E528" s="5">
        <v>21366</v>
      </c>
      <c r="F528" s="6">
        <v>20012</v>
      </c>
      <c r="G528" s="24">
        <f t="shared" si="17"/>
        <v>-6.3371712065899088E-2</v>
      </c>
    </row>
    <row r="529" spans="1:10" ht="26.25" x14ac:dyDescent="0.4">
      <c r="A529" s="1"/>
      <c r="B529" t="s">
        <v>497</v>
      </c>
      <c r="C529" t="s">
        <v>561</v>
      </c>
      <c r="D529" t="s">
        <v>576</v>
      </c>
      <c r="E529" s="5">
        <v>140927</v>
      </c>
      <c r="F529" s="6">
        <v>210448</v>
      </c>
      <c r="G529" s="24">
        <f t="shared" si="17"/>
        <v>0.49331214032797122</v>
      </c>
    </row>
    <row r="530" spans="1:10" ht="26.25" x14ac:dyDescent="0.4">
      <c r="A530" s="1"/>
      <c r="B530" t="s">
        <v>497</v>
      </c>
      <c r="C530" t="s">
        <v>561</v>
      </c>
      <c r="D530" t="s">
        <v>577</v>
      </c>
      <c r="E530" s="5">
        <v>252099</v>
      </c>
      <c r="F530" s="6">
        <v>225896</v>
      </c>
      <c r="G530" s="24">
        <f t="shared" si="17"/>
        <v>-0.10393932542374229</v>
      </c>
    </row>
    <row r="531" spans="1:10" ht="26.25" x14ac:dyDescent="0.4">
      <c r="A531" s="1"/>
      <c r="B531" t="s">
        <v>497</v>
      </c>
      <c r="C531" t="s">
        <v>561</v>
      </c>
      <c r="D531" t="s">
        <v>578</v>
      </c>
      <c r="E531" s="5">
        <v>15938</v>
      </c>
      <c r="F531" s="6">
        <v>22010</v>
      </c>
      <c r="G531" s="24">
        <f t="shared" si="17"/>
        <v>0.38097628309700093</v>
      </c>
    </row>
    <row r="532" spans="1:10" ht="26.25" x14ac:dyDescent="0.4">
      <c r="A532" s="1"/>
      <c r="B532" t="s">
        <v>497</v>
      </c>
      <c r="C532" t="s">
        <v>561</v>
      </c>
      <c r="D532" t="s">
        <v>579</v>
      </c>
      <c r="E532" s="5">
        <v>54132</v>
      </c>
      <c r="F532" s="6">
        <v>48129</v>
      </c>
      <c r="G532" s="24">
        <f t="shared" si="17"/>
        <v>-0.11089558856129467</v>
      </c>
    </row>
    <row r="533" spans="1:10" ht="26.25" x14ac:dyDescent="0.4">
      <c r="A533" s="1"/>
      <c r="B533" t="s">
        <v>497</v>
      </c>
      <c r="C533" t="s">
        <v>561</v>
      </c>
      <c r="D533" t="s">
        <v>580</v>
      </c>
      <c r="E533" s="5">
        <v>63946</v>
      </c>
      <c r="F533" s="6">
        <v>63258</v>
      </c>
      <c r="G533" s="24">
        <f t="shared" si="17"/>
        <v>-1.07590779720389E-2</v>
      </c>
    </row>
    <row r="534" spans="1:10" ht="26.25" x14ac:dyDescent="0.4">
      <c r="A534" s="1"/>
      <c r="B534" s="8" t="s">
        <v>497</v>
      </c>
      <c r="C534" s="8" t="s">
        <v>581</v>
      </c>
      <c r="D534" s="8" t="s">
        <v>582</v>
      </c>
      <c r="E534" s="7">
        <v>1585</v>
      </c>
      <c r="F534" s="9">
        <v>72589</v>
      </c>
      <c r="G534" s="24">
        <f t="shared" si="17"/>
        <v>44.797476340694004</v>
      </c>
    </row>
    <row r="535" spans="1:10" ht="26.25" x14ac:dyDescent="0.4">
      <c r="A535" s="1"/>
      <c r="B535" s="180" t="s">
        <v>497</v>
      </c>
      <c r="C535" s="180" t="s">
        <v>561</v>
      </c>
      <c r="D535" s="180" t="s">
        <v>583</v>
      </c>
      <c r="E535" s="181">
        <f>SUM(E515:E534)</f>
        <v>1719301</v>
      </c>
      <c r="F535" s="181">
        <f>SUM(F515:F534)</f>
        <v>1617907.29</v>
      </c>
      <c r="G535" s="185">
        <f t="shared" si="17"/>
        <v>-5.8973798072588735E-2</v>
      </c>
    </row>
    <row r="536" spans="1:10" ht="26.25" x14ac:dyDescent="0.4">
      <c r="A536" s="1"/>
      <c r="B536" s="8" t="s">
        <v>497</v>
      </c>
      <c r="C536" s="8" t="s">
        <v>584</v>
      </c>
      <c r="D536" s="8" t="s">
        <v>13</v>
      </c>
      <c r="E536" s="7">
        <v>94</v>
      </c>
      <c r="F536" s="9">
        <v>258</v>
      </c>
      <c r="G536" s="24">
        <f t="shared" si="17"/>
        <v>1.7446808510638299</v>
      </c>
    </row>
    <row r="537" spans="1:10" ht="26.25" x14ac:dyDescent="0.4">
      <c r="A537" s="1">
        <v>26</v>
      </c>
      <c r="B537" s="186" t="s">
        <v>497</v>
      </c>
      <c r="C537" s="186" t="s">
        <v>22</v>
      </c>
      <c r="D537" s="186" t="s">
        <v>585</v>
      </c>
      <c r="E537" s="187">
        <f>E536+E535+E514+E504+E493+E485+E480+E479+E473</f>
        <v>3646363</v>
      </c>
      <c r="F537" s="187">
        <f>F536+F535+F514+F504+F493+F485+F480+F479+F473</f>
        <v>3483979.56</v>
      </c>
      <c r="G537" s="188">
        <f>F537/E537-1</f>
        <v>-4.4532988076063762E-2</v>
      </c>
      <c r="H537" s="189"/>
    </row>
    <row r="538" spans="1:10" ht="26.25" x14ac:dyDescent="0.4">
      <c r="A538" s="1"/>
      <c r="B538" s="8" t="s">
        <v>586</v>
      </c>
      <c r="C538" s="8" t="s">
        <v>587</v>
      </c>
      <c r="D538" s="8" t="s">
        <v>13</v>
      </c>
      <c r="E538" s="7">
        <v>14932</v>
      </c>
      <c r="F538" s="9">
        <v>13589</v>
      </c>
      <c r="G538" s="24">
        <f t="shared" si="17"/>
        <v>-8.9941066166622008E-2</v>
      </c>
      <c r="H538" s="189"/>
    </row>
    <row r="539" spans="1:10" ht="26.25" x14ac:dyDescent="0.4">
      <c r="A539" s="1"/>
      <c r="B539" s="8" t="s">
        <v>588</v>
      </c>
      <c r="C539" s="8" t="s">
        <v>588</v>
      </c>
      <c r="D539" s="8" t="s">
        <v>13</v>
      </c>
      <c r="E539" s="7">
        <v>15</v>
      </c>
      <c r="F539" s="9">
        <v>95</v>
      </c>
      <c r="G539" s="24">
        <f t="shared" si="17"/>
        <v>5.333333333333333</v>
      </c>
    </row>
    <row r="540" spans="1:10" ht="18.75" x14ac:dyDescent="0.25">
      <c r="A540" s="190"/>
      <c r="B540" s="191" t="s">
        <v>589</v>
      </c>
      <c r="C540" s="191" t="s">
        <v>589</v>
      </c>
      <c r="D540" s="191" t="s">
        <v>589</v>
      </c>
      <c r="E540" s="192">
        <f>E9+E15+E47+E76+E80+E130+E140+E140+E156+E173+E186+E187+E195+E230+E239+E250+E261+E324+E374+E379+E387+E399+E420+E425+E456+E537+E538+E539</f>
        <v>15373201</v>
      </c>
      <c r="F540" s="192">
        <f>F9+F15+F47+F76+F80+F130+F140+F140+F156+F173+F186+F187+F195+F230+F239+F250+F261+F324+F374+F379+F387+F399+F420+F425+F456+F537+F538+F539</f>
        <v>14760216.779999997</v>
      </c>
      <c r="G540" s="193">
        <f t="shared" si="17"/>
        <v>-3.9873557888171929E-2</v>
      </c>
      <c r="H540" s="141"/>
      <c r="I540" s="141"/>
      <c r="J540" s="141"/>
    </row>
  </sheetData>
  <mergeCells count="9">
    <mergeCell ref="H64:H70"/>
    <mergeCell ref="H457:H465"/>
    <mergeCell ref="H466:H470"/>
    <mergeCell ref="H16:H25"/>
    <mergeCell ref="I16:I25"/>
    <mergeCell ref="H26:H32"/>
    <mergeCell ref="I26:I32"/>
    <mergeCell ref="H48:H59"/>
    <mergeCell ref="H60:H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Clotilde Grandval</cp:lastModifiedBy>
  <dcterms:created xsi:type="dcterms:W3CDTF">2019-10-02T16:38:19Z</dcterms:created>
  <dcterms:modified xsi:type="dcterms:W3CDTF">2019-10-03T13:16:57Z</dcterms:modified>
</cp:coreProperties>
</file>